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Client Needs Tracker" sheetId="2" r:id="rId6"/>
    <sheet state="visible" name="Sheet1" sheetId="3" r:id="rId7"/>
    <sheet state="visible" name="Client Status Board" sheetId="4" r:id="rId8"/>
    <sheet state="visible" name="Med Reference" sheetId="5" r:id="rId9"/>
    <sheet state="visible" name="Inventory - P01" sheetId="6" r:id="rId10"/>
    <sheet state="visible" name="MAR - P01" sheetId="7" r:id="rId11"/>
    <sheet state="visible" name="Inventory - P02" sheetId="8" r:id="rId12"/>
    <sheet state="visible" name="MAR - P02" sheetId="9" r:id="rId13"/>
    <sheet state="visible" name="Inventory - P03" sheetId="10" r:id="rId14"/>
    <sheet state="visible" name="MAR - P03" sheetId="11" r:id="rId15"/>
    <sheet state="visible" name="Inventory - P04" sheetId="12" r:id="rId16"/>
    <sheet state="visible" name="MAR - P04" sheetId="13" r:id="rId17"/>
    <sheet state="visible" name="Inventory - P05" sheetId="14" r:id="rId18"/>
    <sheet state="visible" name="MAR - P05" sheetId="15" r:id="rId19"/>
    <sheet state="visible" name="Inventory - P06" sheetId="16" r:id="rId20"/>
    <sheet state="visible" name="MAR - P06" sheetId="17" r:id="rId21"/>
    <sheet state="visible" name="Inventory - P07" sheetId="18" r:id="rId22"/>
    <sheet state="visible" name="MAR - P07" sheetId="19" r:id="rId23"/>
    <sheet state="visible" name="Inventory - P08" sheetId="20" r:id="rId24"/>
    <sheet state="visible" name="MAR - P08" sheetId="21" r:id="rId25"/>
    <sheet state="visible" name="Inventory - P09" sheetId="22" r:id="rId26"/>
    <sheet state="visible" name="MAR - P09" sheetId="23" r:id="rId27"/>
    <sheet state="visible" name="Inventory - P10" sheetId="24" r:id="rId28"/>
    <sheet state="visible" name="MAR - P10" sheetId="25" r:id="rId29"/>
    <sheet state="visible" name="Inventory - P11" sheetId="26" r:id="rId30"/>
    <sheet state="visible" name="MAR - P11" sheetId="27" r:id="rId31"/>
    <sheet state="visible" name="Inventory - P12" sheetId="28" r:id="rId32"/>
    <sheet state="visible" name="MAR - P12" sheetId="29" r:id="rId33"/>
    <sheet state="visible" name="Inventory - P13" sheetId="30" r:id="rId34"/>
    <sheet state="visible" name="MAR - P13" sheetId="31" r:id="rId35"/>
    <sheet state="visible" name="Inventory - P14" sheetId="32" r:id="rId36"/>
    <sheet state="visible" name="MAR - P14" sheetId="33" r:id="rId37"/>
    <sheet state="visible" name="Inventory - P15" sheetId="34" r:id="rId38"/>
    <sheet state="visible" name="MAR - P15" sheetId="35" r:id="rId39"/>
    <sheet state="visible" name="Inventory - P16" sheetId="36" r:id="rId40"/>
    <sheet state="visible" name="MAR - P16" sheetId="37" r:id="rId41"/>
    <sheet state="visible" name="Discharge" sheetId="38" r:id="rId42"/>
    <sheet state="visible" name="Yearly Log" sheetId="39" r:id="rId43"/>
  </sheets>
  <definedNames>
    <definedName name="MG_Divalproex_Valproate">'Med Reference'!$G$50:$I$50</definedName>
    <definedName name="MG_Trazodone">'Med Reference'!$G$48:$J$48</definedName>
    <definedName name="MG_Buspirone">'Med Reference'!$G$60:$J$60</definedName>
    <definedName name="MG_Mirtazapine">'Med Reference'!$G$47:$J$47</definedName>
    <definedName name="MG_Sertraline">'Med Reference'!$G$40:$I$40</definedName>
    <definedName name="MG_Citalopram">'Med Reference'!$G$43:$I$43</definedName>
    <definedName name="MG_Diazepam">'Med Reference'!$G$62:$I$62</definedName>
    <definedName name="MG_Fluoxetine">'Med Reference'!$G$41:$J$41</definedName>
    <definedName name="MG_Hydroxyzine">'Med Reference'!$G$61:$J$61</definedName>
    <definedName name="MG_Alprazolam">'Med Reference'!$G$57:$J$57</definedName>
    <definedName name="MG_Quetiapine">'Med Reference'!$G$52:$L$52</definedName>
    <definedName name="MG_Carbamazepine">'Med Reference'!$G$56:$I$56</definedName>
    <definedName name="MG_Lithium">'Med Reference'!$G$49:$J$49</definedName>
    <definedName name="MG_Escitalopram">'Med Reference'!$G$42:$I$42</definedName>
    <definedName name="MG_Olanzapine">'Med Reference'!$G$53:$L$53</definedName>
    <definedName name="MG_Lamotrigine">'Med Reference'!$G$51:$K$51</definedName>
    <definedName name="MG_Clonazepam">'Med Reference'!$G$59:$I$59</definedName>
    <definedName name="MG_Aripiprazole">'Med Reference'!$G$54:$L$54</definedName>
    <definedName name="MG_Duloxetine">'Med Reference'!$G$46:$I$46</definedName>
    <definedName name="MG_Risperidone">'Med Reference'!$G$55:$L$55</definedName>
    <definedName name="MG_Bupropion">'Med Reference'!$G$44:$K$44</definedName>
    <definedName name="MG_Lorazepam">'Med Reference'!$G$58:$I$58</definedName>
    <definedName name="MG_Venlafaxine">'Med Reference'!$G$45:$J$45</definedName>
  </definedNames>
  <calcPr/>
</workbook>
</file>

<file path=xl/sharedStrings.xml><?xml version="1.0" encoding="utf-8"?>
<sst xmlns="http://schemas.openxmlformats.org/spreadsheetml/2006/main" count="2262" uniqueCount="288">
  <si>
    <t>Client Needs Tracker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</si>
  <si>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</si>
  <si>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</si>
  <si>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Select ✓ if the client has it / it's met, ✗ if still needed. Resource highlights follow ID, Substance use, and Employed status. See Medications tab, linked by Member ID.</t>
  </si>
  <si>
    <t>Discharge Analytics</t>
  </si>
  <si>
    <t>Member ID</t>
  </si>
  <si>
    <t>Program outcomes across all processed discharges — updates automatically</t>
  </si>
  <si>
    <t>Client Initials</t>
  </si>
  <si>
    <t>Bed</t>
  </si>
  <si>
    <t>Referral source</t>
  </si>
  <si>
    <t>Case Manager</t>
  </si>
  <si>
    <t>Appointment Status</t>
  </si>
  <si>
    <t>Doctor</t>
  </si>
  <si>
    <t>Appointment Time</t>
  </si>
  <si>
    <t>Appointment Date</t>
  </si>
  <si>
    <t>Notes</t>
  </si>
  <si>
    <t>Client name</t>
  </si>
  <si>
    <t>Pharmacy Status</t>
  </si>
  <si>
    <t>Admit date</t>
  </si>
  <si>
    <t>Pharmacy</t>
  </si>
  <si>
    <t>Days admitted</t>
  </si>
  <si>
    <t>11.7 days</t>
  </si>
  <si>
    <t>Med Times</t>
  </si>
  <si>
    <t>LOC</t>
  </si>
  <si>
    <t>Admit Date</t>
  </si>
  <si>
    <t>Employed (Y/N)</t>
  </si>
  <si>
    <t>Substance use</t>
  </si>
  <si>
    <t>ID</t>
  </si>
  <si>
    <t>SNAP</t>
  </si>
  <si>
    <t>Clinic Card</t>
  </si>
  <si>
    <t>Free Phone</t>
  </si>
  <si>
    <t>Bus Pass</t>
  </si>
  <si>
    <t>Shelter</t>
  </si>
  <si>
    <t>Treatment Center</t>
  </si>
  <si>
    <t>Sober Living</t>
  </si>
  <si>
    <t>Discharged</t>
  </si>
  <si>
    <t>Discharge Date</t>
  </si>
  <si>
    <t>TOTAL DISCHARGES</t>
  </si>
  <si>
    <t>Joe Jackson</t>
  </si>
  <si>
    <t>AVG LENGTH OF STAY</t>
  </si>
  <si>
    <t>MET DISCHARGE PLAN</t>
  </si>
  <si>
    <t>OBTAINED ID</t>
  </si>
  <si>
    <t>OBTAINED SNAP</t>
  </si>
  <si>
    <t>TBD</t>
  </si>
  <si>
    <t>Requested/Pending</t>
  </si>
  <si>
    <t>PubDef</t>
  </si>
  <si>
    <t>Length of Stay by Level of Care</t>
  </si>
  <si>
    <t>Unknown</t>
  </si>
  <si>
    <t>Y</t>
  </si>
  <si>
    <t>Discharges by Referral Source</t>
  </si>
  <si>
    <t>✓</t>
  </si>
  <si>
    <t>Needs clothes</t>
  </si>
  <si>
    <t>✗</t>
  </si>
  <si>
    <t>Submitted/Pending</t>
  </si>
  <si>
    <t>Genoa</t>
  </si>
  <si>
    <t>Discharges</t>
  </si>
  <si>
    <t>Avg LOS</t>
  </si>
  <si>
    <t>Referral Source</t>
  </si>
  <si>
    <t>Count</t>
  </si>
  <si>
    <t>% of Total</t>
  </si>
  <si>
    <t>M - 1A</t>
  </si>
  <si>
    <t>LOC1</t>
  </si>
  <si>
    <t>OCR</t>
  </si>
  <si>
    <t>Mikayla Cross</t>
  </si>
  <si>
    <t>LOC2</t>
  </si>
  <si>
    <t>LOC3</t>
  </si>
  <si>
    <t>J. Wilkers</t>
  </si>
  <si>
    <t>CaseMgr</t>
  </si>
  <si>
    <t>MCOT</t>
  </si>
  <si>
    <t>Oceans</t>
  </si>
  <si>
    <t>LOC4</t>
  </si>
  <si>
    <t>M - 1B</t>
  </si>
  <si>
    <t>Bayview</t>
  </si>
  <si>
    <t>LOC5</t>
  </si>
  <si>
    <t>OTHER</t>
  </si>
  <si>
    <t>Resources Obtained at Discharge</t>
  </si>
  <si>
    <t>M - 2A</t>
  </si>
  <si>
    <t>Resource</t>
  </si>
  <si>
    <t>Obtained</t>
  </si>
  <si>
    <t>Rate</t>
  </si>
  <si>
    <t>Met Discharge Plan</t>
  </si>
  <si>
    <t>Obtained ID</t>
  </si>
  <si>
    <t>Discharge Outcomes</t>
  </si>
  <si>
    <t>Obtained Bus Pass</t>
  </si>
  <si>
    <t>Scheduled</t>
  </si>
  <si>
    <t>M - 2B</t>
  </si>
  <si>
    <t>Destiny</t>
  </si>
  <si>
    <t>As of</t>
  </si>
  <si>
    <t>Picked Up</t>
  </si>
  <si>
    <t>HEB</t>
  </si>
  <si>
    <t>Obtained Clinic Card</t>
  </si>
  <si>
    <t>Live from Discharge + Yearly Log · updates automatically each time this file is opened</t>
  </si>
  <si>
    <t>Obtained SNAP</t>
  </si>
  <si>
    <t>M - 3A</t>
  </si>
  <si>
    <t>M - 3B</t>
  </si>
  <si>
    <t>THIS MONTH</t>
  </si>
  <si>
    <t>THIS WEEK</t>
  </si>
  <si>
    <t>DOCS OBTAINED</t>
  </si>
  <si>
    <t>M - 4A</t>
  </si>
  <si>
    <t>M - 4B</t>
  </si>
  <si>
    <t>Brenda Homes</t>
  </si>
  <si>
    <t>F - 1A</t>
  </si>
  <si>
    <t>F - 1B</t>
  </si>
  <si>
    <t>F - 2A</t>
  </si>
  <si>
    <t>F - 2B</t>
  </si>
  <si>
    <t>F - 3A</t>
  </si>
  <si>
    <t>F - 3B</t>
  </si>
  <si>
    <t>F - 4A</t>
  </si>
  <si>
    <t>YEAR TO DATE</t>
  </si>
  <si>
    <t>DISCHARGES</t>
  </si>
  <si>
    <t>F - 4B</t>
  </si>
  <si>
    <t>AVG. YTD</t>
  </si>
  <si>
    <t>Needs summary (counts as of last save)</t>
  </si>
  <si>
    <t>Need</t>
  </si>
  <si>
    <t>Documents Obtained  ·  % of discharges (YTD)</t>
  </si>
  <si>
    <t>Have it (✓)</t>
  </si>
  <si>
    <t>Placements  ·  Treatment / Sober Living / Shelter (YTD)</t>
  </si>
  <si>
    <t>Still need (✗)</t>
  </si>
  <si>
    <t>Common Psychological Medications (reference list for dropdown)</t>
  </si>
  <si>
    <t>Cenikor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</si>
  <si>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</si>
  <si>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</si>
  <si>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</si>
  <si>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</si>
  <si>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</si>
  <si>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</si>
  <si>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</si>
  <si>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</si>
  <si>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</si>
  <si>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</si>
  <si>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</si>
  <si>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</si>
  <si>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</si>
  <si>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</si>
  <si>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</si>
  <si>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</si>
  <si>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</si>
  <si>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</si>
  <si>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</si>
  <si>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</si>
  <si>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</si>
  <si>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</si>
  <si>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</si>
  <si>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</si>
  <si>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</si>
  <si>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</si>
  <si>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</si>
  <si>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Treatment Center placements</t>
  </si>
  <si>
    <t>Lifetime Recovery</t>
  </si>
  <si>
    <t>Liberty Lodge</t>
  </si>
  <si>
    <t>Milligram strengths by medication (used for the Dosage dropdown)</t>
  </si>
  <si>
    <t>Sober Living placements</t>
  </si>
  <si>
    <t>Oxford House</t>
  </si>
  <si>
    <t>Wenholtz House</t>
  </si>
  <si>
    <t>Rustic House</t>
  </si>
  <si>
    <t>Broken Chains</t>
  </si>
  <si>
    <t>Shelter placements</t>
  </si>
  <si>
    <t>Good Sam</t>
  </si>
  <si>
    <t>Salvation Army</t>
  </si>
  <si>
    <t>Met Discharge Plan  ·  YTD</t>
  </si>
  <si>
    <t>IDD</t>
  </si>
  <si>
    <t>Met</t>
  </si>
  <si>
    <t>Not Met</t>
  </si>
  <si>
    <t>AVG. LENGTH OF STAY</t>
  </si>
  <si>
    <t>VS. LAST MONTH</t>
  </si>
  <si>
    <t>DAYS, YTD</t>
  </si>
  <si>
    <t>CHANGE IN DISCHARGES</t>
  </si>
  <si>
    <t>Discharges by Month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</si>
  <si>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</si>
  <si>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</si>
  <si>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</si>
  <si>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</si>
  <si>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</si>
  <si>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</si>
  <si>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</si>
  <si>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</si>
  <si>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</si>
  <si>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</si>
  <si>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</si>
  <si>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</si>
  <si>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</si>
  <si>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</si>
  <si>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</si>
  <si>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</si>
  <si>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</si>
  <si>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</si>
  <si>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</si>
  <si>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</si>
  <si>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</si>
  <si>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</si>
  <si>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</si>
  <si>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</si>
  <si>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</si>
  <si>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</si>
  <si>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</si>
  <si>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</si>
  <si>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</si>
  <si>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</si>
  <si>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</si>
  <si>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</si>
  <si>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</si>
  <si>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</si>
  <si>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</si>
  <si>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</si>
  <si>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</si>
  <si>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</si>
  <si>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</si>
  <si>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</si>
  <si>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</si>
  <si>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</si>
  <si>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</si>
  <si>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</si>
  <si>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</si>
  <si>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</si>
  <si>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</si>
  <si>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</si>
  <si>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Start Date</t>
  </si>
  <si>
    <t>Psychological</t>
  </si>
  <si>
    <t>Time Slot 4 (8 PM–5 AM)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</si>
  <si>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</si>
  <si>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</si>
  <si>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</si>
  <si>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</si>
  <si>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</si>
  <si>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</si>
  <si>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</si>
  <si>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N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</si>
  <si>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</si>
  <si>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</si>
  <si>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</si>
  <si>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</si>
  <si>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</si>
  <si>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</si>
  <si>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</si>
  <si>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</si>
  <si>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</si>
  <si>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</si>
  <si>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</si>
  <si>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</si>
  <si>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</si>
  <si>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</si>
  <si>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</si>
  <si>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</si>
  <si>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</si>
  <si>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</si>
  <si>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</si>
  <si>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</si>
  <si>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</si>
  <si>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</si>
  <si>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</si>
  <si>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</si>
  <si>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</si>
  <si>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</si>
  <si>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</si>
  <si>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</si>
  <si>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</si>
  <si>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</si>
  <si>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</si>
  <si>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</si>
  <si>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</si>
  <si>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</si>
  <si>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</si>
  <si>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</si>
  <si>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</si>
  <si>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</si>
  <si>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</si>
  <si>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</si>
  <si>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</si>
  <si>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</si>
  <si>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</si>
  <si>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</si>
  <si>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</si>
  <si>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</si>
  <si>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</si>
  <si>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Needs ID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</si>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</sst>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mm/dd/yyyy"/>
    <numFmt numFmtId="165" formatCode="h:mm:ss am/pm"/>
    <numFmt numFmtId="166" formatCode="m/d/yyyy"/>
    <numFmt numFmtId="167" formatCode="mmm\ d&quot;, &quot;yyyy"/>
    <numFmt numFmtId="168" formatCode="0.0"/>
    <numFmt numFmtId="169" formatCode="\+0;\-0;0"/>
    <numFmt numFmtId="170" formatCode="h:mm\ AM/PM"/>
    <numFmt numFmtId="171" formatCode="ddd\ m/d"/>
    <numFmt numFmtId="172" formatCode="h:mm am/pm"/>
    <numFmt numFmtId="173" formatCode="MM/DD/YYYY"/>
  </numFmts>
  <fonts count="53">
    <font>
      <sz val="11.0"/>
      <color theme="1"/>
      <name val="Calibri"/>
      <scheme val="minor"/>
    </font>
    <font>
      <b/>
      <sz val="18.0"/>
      <color rgb="FF1D9E75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16.0"/>
      <color rgb="FF1D9E75"/>
      <name val="Arial"/>
    </font>
    <font>
      <i/>
      <sz val="10.0"/>
      <color rgb="FF5F5E5A"/>
      <name val="Arial"/>
    </font>
    <font>
      <b/>
      <sz val="24.0"/>
      <color rgb="FF0D3D33"/>
      <name val="Calibri"/>
      <scheme val="minor"/>
    </font>
    <font>
      <b/>
      <sz val="10.0"/>
      <color rgb="FFFFFFFF"/>
      <name val="Arial"/>
    </font>
    <font>
      <color rgb="FF7C8D8A"/>
      <name val="Calibri"/>
      <scheme val="minor"/>
    </font>
    <font>
      <b/>
      <sz val="11.0"/>
      <color rgb="FF0F5C43"/>
      <name val="Arial"/>
    </font>
    <font>
      <b/>
      <color rgb="FFFFFFFF"/>
      <name val="Arial"/>
    </font>
    <font>
      <b/>
      <sz val="18.0"/>
      <color rgb="FF0D3D33"/>
      <name val="Calibri"/>
      <scheme val="minor"/>
    </font>
    <font/>
    <font>
      <b/>
      <sz val="18.0"/>
      <color rgb="FF12735C"/>
      <name val="Calibri"/>
      <scheme val="minor"/>
    </font>
    <font>
      <b/>
      <sz val="11.0"/>
      <color rgb="FF0F3D2C"/>
      <name val="Arial"/>
    </font>
    <font>
      <b/>
      <sz val="18.0"/>
      <color rgb="FF276A2F"/>
      <name val="Calibri"/>
      <scheme val="minor"/>
    </font>
    <font>
      <sz val="11.0"/>
      <color theme="1"/>
      <name val="Arial"/>
    </font>
    <font>
      <b/>
      <sz val="11.0"/>
      <color rgb="FFFFFFFF"/>
      <name val="Arial"/>
    </font>
    <font>
      <b/>
      <color rgb="FF7C8D8A"/>
      <name val="Calibri"/>
      <scheme val="minor"/>
    </font>
    <font>
      <b/>
      <sz val="12.0"/>
      <color rgb="FF0D3D33"/>
      <name val="Calibri"/>
      <scheme val="minor"/>
    </font>
    <font>
      <b/>
      <color rgb="FFFFFFFF"/>
      <name val="Calibri"/>
      <scheme val="minor"/>
    </font>
    <font>
      <b/>
      <sz val="11.0"/>
      <color rgb="FF1F3F5C"/>
      <name val="Arial"/>
    </font>
    <font>
      <color rgb="FF1C2B29"/>
      <name val="Calibri"/>
      <scheme val="minor"/>
    </font>
    <font>
      <b/>
      <color rgb="FF276A2F"/>
      <name val="Calibri"/>
      <scheme val="minor"/>
    </font>
    <font>
      <b/>
      <sz val="22.0"/>
      <color rgb="FF1F2421"/>
      <name val="Arial"/>
    </font>
    <font>
      <sz val="9.0"/>
      <color rgb="FF6B7280"/>
      <name val="Arial"/>
    </font>
    <font>
      <b/>
      <sz val="10.0"/>
      <color rgb="FF1F2421"/>
      <name val="Arial"/>
    </font>
    <font>
      <i/>
      <sz val="10.0"/>
      <color rgb="FF6B7280"/>
      <name val="Arial"/>
    </font>
    <font>
      <b/>
      <sz val="28.0"/>
      <color rgb="FF1B4D38"/>
      <name val="Arial"/>
    </font>
    <font>
      <b/>
      <sz val="11.0"/>
      <color rgb="FF7A2E45"/>
      <name val="Arial"/>
    </font>
    <font>
      <sz val="8.0"/>
      <color rgb="FF6B7280"/>
      <name val="Arial"/>
    </font>
    <font>
      <b/>
      <sz val="12.0"/>
      <color theme="1"/>
      <name val="Arial"/>
    </font>
    <font>
      <b/>
      <sz val="12.0"/>
      <color rgb="FF1F2421"/>
      <name val="Arial"/>
    </font>
    <font>
      <sz val="10.0"/>
      <color rgb="FF1F2421"/>
      <name val="Arial"/>
    </font>
    <font>
      <b/>
      <sz val="12.0"/>
      <color rgb="FF1D9E75"/>
      <name val="Arial"/>
    </font>
    <font>
      <b/>
      <sz val="11.0"/>
      <color rgb="FF1D9E75"/>
      <name val="Arial"/>
    </font>
    <font>
      <b/>
      <sz val="9.0"/>
      <color rgb="FF6B7280"/>
      <name val="Arial"/>
    </font>
    <font>
      <i/>
      <sz val="10.0"/>
      <color rgb="FF6B6B63"/>
      <name val="Arial"/>
    </font>
    <font>
      <i/>
      <sz val="9.0"/>
      <color rgb="FF5F5E5A"/>
      <name val="Arial"/>
    </font>
    <font>
      <b/>
      <sz val="18.0"/>
      <color rgb="FF1D1D1B"/>
      <name val="Arial"/>
    </font>
    <font>
      <sz val="10.0"/>
      <color theme="1"/>
      <name val="Arial"/>
    </font>
    <font>
      <b/>
      <sz val="13.0"/>
      <color rgb="FF0F5C43"/>
      <name val="Arial"/>
    </font>
    <font>
      <i/>
      <sz val="9.0"/>
      <color rgb="FF6B6B63"/>
      <name val="Arial"/>
    </font>
    <font>
      <sz val="11.0"/>
      <color theme="1"/>
      <name val="Cambria"/>
    </font>
    <font>
      <b/>
      <sz val="22.0"/>
      <color rgb="FF0F5C43"/>
      <name val="Arial"/>
    </font>
    <font>
      <b/>
      <sz val="16.0"/>
      <color rgb="FF0F5C43"/>
      <name val="Arial"/>
    </font>
    <font>
      <b/>
      <sz val="14.0"/>
      <color rgb="FF0F5C43"/>
      <name val="Arial"/>
    </font>
    <font>
      <b/>
      <sz val="24.0"/>
      <color rgb="FF0F5C43"/>
      <name val="Arial"/>
    </font>
    <font>
      <b/>
      <sz val="18.0"/>
      <color rgb="FF0F5C43"/>
      <name val="Arial"/>
    </font>
    <font>
      <sz val="10.0"/>
      <color rgb="FF3A3A34"/>
      <name val="Arial"/>
    </font>
    <font>
      <b/>
      <sz val="10.0"/>
      <color theme="1"/>
      <name val="Arial"/>
    </font>
    <font>
      <b/>
      <sz val="8.0"/>
      <color rgb="FFFFFFFF"/>
      <name val="Arial"/>
    </font>
    <font>
      <b/>
      <sz val="10.0"/>
      <color rgb="FF3A3A34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/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 style="thin">
        <color rgb="FFD3E0DA"/>
      </left>
      <top style="thin">
        <color rgb="FFD3E0DA"/>
      </top>
    </border>
    <border>
      <right style="thin">
        <color rgb="FFD3E0DA"/>
      </right>
      <top style="thin">
        <color rgb="FFD3E0DA"/>
      </top>
    </border>
    <border>
      <left style="thin">
        <color rgb="FFD3E0DA"/>
      </left>
    </border>
    <border>
      <right style="thin">
        <color rgb="FFD3E0DA"/>
      </right>
    </border>
    <border>
      <left style="thin">
        <color rgb="FFD3E0DA"/>
      </left>
      <bottom style="thin">
        <color rgb="FFD3E0DA"/>
      </bottom>
    </border>
    <border>
      <right style="thin">
        <color rgb="FFD3E0DA"/>
      </right>
      <bottom style="thin">
        <color rgb="FFD3E0DA"/>
      </bottom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</border>
    <border>
      <left style="thin">
        <color rgb="FFE0E0DC"/>
      </left>
      <top style="medium">
        <color rgb="FF2E7D5B"/>
      </top>
      <bottom/>
    </border>
    <border>
      <right style="thin">
        <color rgb="FFE0E0DC"/>
      </right>
      <top style="medium">
        <color rgb="FF2E7D5B"/>
      </top>
      <bottom/>
    </border>
    <border>
      <left style="thin">
        <color rgb="FFE0E0DC"/>
      </left>
      <top/>
      <bottom/>
    </border>
    <border>
      <right style="thin">
        <color rgb="FFE0E0DC"/>
      </right>
      <top/>
      <bottom/>
    </border>
    <border>
      <left style="thin">
        <color rgb="FFE0E0DC"/>
      </left>
      <top/>
      <bottom style="thin">
        <color rgb="FFE0E0DC"/>
      </bottom>
    </border>
    <border>
      <right style="thin">
        <color rgb="FFE0E0DC"/>
      </right>
      <top/>
      <bottom style="thin">
        <color rgb="FFE0E0DC"/>
      </bottom>
    </border>
    <border>
      <left/>
      <right/>
      <top/>
      <bottom/>
    </border>
    <border>
      <left style="medium">
        <color rgb="FF2B2B28"/>
      </left>
      <top style="medium">
        <color rgb="FF2B2B28"/>
      </top>
    </border>
    <border>
      <top style="medium">
        <color rgb="FF2B2B28"/>
      </top>
    </border>
    <border>
      <right style="medium">
        <color rgb="FF2B2B28"/>
      </right>
      <top style="medium">
        <color rgb="FF2B2B28"/>
      </top>
    </border>
    <border>
      <left style="medium">
        <color rgb="FF2B2B28"/>
      </left>
    </border>
    <border>
      <right style="medium">
        <color rgb="FF2B2B28"/>
      </right>
    </border>
    <border>
      <left style="medium">
        <color rgb="FF2B2B28"/>
      </left>
      <top style="thin">
        <color rgb="FFD3D1C7"/>
      </top>
      <bottom style="thin">
        <color rgb="FFD3D1C7"/>
      </bottom>
    </border>
    <border>
      <top style="thin">
        <color rgb="FFD3D1C7"/>
      </top>
      <bottom style="thin">
        <color rgb="FFD3D1C7"/>
      </bottom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right style="medium">
        <color rgb="FF2B2B28"/>
      </right>
      <top style="thin">
        <color rgb="FFD3D1C7"/>
      </top>
      <bottom style="thin">
        <color rgb="FFD3D1C7"/>
      </bottom>
    </border>
    <border>
      <left style="medium">
        <color rgb="FF2B2B28"/>
      </left>
      <top style="thin">
        <color rgb="FFB7B7AE"/>
      </top>
      <bottom style="thin">
        <color rgb="FFB7B7AE"/>
      </bottom>
    </border>
    <border>
      <top style="thin">
        <color rgb="FFB7B7AE"/>
      </top>
      <bottom style="thin">
        <color rgb="FFB7B7AE"/>
      </bottom>
    </border>
    <border>
      <right style="medium">
        <color rgb="FF2B2B28"/>
      </right>
      <top style="thin">
        <color rgb="FFB7B7AE"/>
      </top>
      <bottom style="thin">
        <color rgb="FFB7B7AE"/>
      </bottom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</border>
    <border>
      <left style="medium">
        <color rgb="FF2B2B28"/>
      </left>
      <bottom style="medium">
        <color rgb="FF2B2B28"/>
      </bottom>
    </border>
    <border>
      <bottom style="medium">
        <color rgb="FF2B2B28"/>
      </bottom>
    </border>
    <border>
      <right style="medium">
        <color rgb="FF2B2B28"/>
      </right>
      <bottom style="medium">
        <color rgb="FF2B2B28"/>
      </bottom>
    </border>
    <border>
      <left style="thin">
        <color rgb="FFD3D1C7"/>
      </left>
      <top style="thin">
        <color rgb="FFD3D1C7"/>
      </top>
    </border>
    <border>
      <top style="thin">
        <color rgb="FFD3D1C7"/>
      </top>
    </border>
    <border>
      <left style="thin">
        <color rgb="FFD3D1C7"/>
      </left>
    </border>
    <border>
      <left style="thin">
        <color rgb="FFD3D1C7"/>
      </left>
      <right style="thin">
        <color rgb="FFD3D1C7"/>
      </right>
      <top style="thin">
        <color rgb="FFD3D1C7"/>
      </top>
    </border>
    <border>
      <right/>
      <top style="thin">
        <color rgb="FFD3D1C7"/>
      </top>
      <bottom style="thin">
        <color rgb="FFD3D1C7"/>
      </bottom>
    </border>
    <border>
      <left style="thin">
        <color rgb="FFD3D1C7"/>
      </left>
      <right style="thin">
        <color rgb="FFD3D1C7"/>
      </right>
      <bottom style="thin">
        <color rgb="FFD3D1C7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left" vertical="bottom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horizontal="left" shrinkToFit="0" vertical="center" wrapText="0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readingOrder="0"/>
    </xf>
    <xf borderId="1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horizontal="left" readingOrder="0"/>
    </xf>
    <xf borderId="1" fillId="3" fontId="9" numFmtId="0" xfId="0" applyAlignment="1" applyBorder="1" applyFill="1" applyFont="1">
      <alignment horizontal="center" shrinkToFit="0" vertical="center" wrapText="1"/>
    </xf>
    <xf borderId="1" fillId="2" fontId="10" numFmtId="0" xfId="0" applyAlignment="1" applyBorder="1" applyFont="1">
      <alignment horizontal="center" shrinkToFit="0" wrapText="1"/>
    </xf>
    <xf borderId="1" fillId="2" fontId="7" numFmtId="0" xfId="0" applyAlignment="1" applyBorder="1" applyFont="1">
      <alignment horizontal="center" readingOrder="0" shrinkToFit="0" vertical="center" wrapText="1"/>
    </xf>
    <xf borderId="2" fillId="4" fontId="11" numFmtId="0" xfId="0" applyAlignment="1" applyBorder="1" applyFill="1" applyFont="1">
      <alignment horizontal="center" readingOrder="0"/>
    </xf>
    <xf borderId="3" fillId="0" fontId="12" numFmtId="0" xfId="0" applyBorder="1" applyFont="1"/>
    <xf borderId="2" fillId="4" fontId="13" numFmtId="0" xfId="0" applyAlignment="1" applyBorder="1" applyFont="1">
      <alignment horizontal="center" readingOrder="0"/>
    </xf>
    <xf borderId="1" fillId="5" fontId="14" numFmtId="0" xfId="0" applyAlignment="1" applyBorder="1" applyFill="1" applyFont="1">
      <alignment horizontal="center" shrinkToFit="0" vertical="center" wrapText="1"/>
    </xf>
    <xf borderId="2" fillId="6" fontId="15" numFmtId="9" xfId="0" applyAlignment="1" applyBorder="1" applyFill="1" applyFont="1" applyNumberFormat="1">
      <alignment horizontal="center" readingOrder="0"/>
    </xf>
    <xf borderId="2" fillId="4" fontId="13" numFmtId="9" xfId="0" applyAlignment="1" applyBorder="1" applyFont="1" applyNumberFormat="1">
      <alignment horizontal="center" readingOrder="0"/>
    </xf>
    <xf borderId="1" fillId="0" fontId="16" numFmtId="0" xfId="0" applyAlignment="1" applyBorder="1" applyFont="1">
      <alignment horizontal="center" shrinkToFit="0" vertical="center" wrapText="0"/>
    </xf>
    <xf borderId="4" fillId="0" fontId="12" numFmtId="0" xfId="0" applyBorder="1" applyFont="1"/>
    <xf borderId="1" fillId="7" fontId="17" numFmtId="0" xfId="0" applyAlignment="1" applyBorder="1" applyFill="1" applyFont="1">
      <alignment horizontal="center" shrinkToFit="0" vertical="center" wrapText="1"/>
    </xf>
    <xf borderId="5" fillId="0" fontId="12" numFmtId="0" xfId="0" applyBorder="1" applyFont="1"/>
    <xf borderId="6" fillId="0" fontId="12" numFmtId="0" xfId="0" applyBorder="1" applyFont="1"/>
    <xf borderId="7" fillId="0" fontId="12" numFmtId="0" xfId="0" applyBorder="1" applyFont="1"/>
    <xf borderId="1" fillId="8" fontId="16" numFmtId="0" xfId="0" applyAlignment="1" applyBorder="1" applyFill="1" applyFont="1">
      <alignment horizontal="center" readingOrder="0" shrinkToFit="0" vertical="center" wrapText="0"/>
    </xf>
    <xf borderId="0" fillId="0" fontId="18" numFmtId="0" xfId="0" applyAlignment="1" applyFont="1">
      <alignment horizontal="center" readingOrder="0"/>
    </xf>
    <xf borderId="1" fillId="8" fontId="16" numFmtId="0" xfId="0" applyAlignment="1" applyBorder="1" applyFont="1">
      <alignment horizontal="left" readingOrder="0" shrinkToFit="0" vertical="center" wrapText="0"/>
    </xf>
    <xf borderId="1" fillId="8" fontId="16" numFmtId="164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1" fillId="8" fontId="16" numFmtId="0" xfId="0" applyAlignment="1" applyBorder="1" applyFont="1">
      <alignment horizontal="center" shrinkToFit="0" vertical="center" wrapText="0"/>
    </xf>
    <xf borderId="1" fillId="0" fontId="16" numFmtId="0" xfId="0" applyAlignment="1" applyBorder="1" applyFont="1">
      <alignment horizontal="center" readingOrder="0"/>
    </xf>
    <xf borderId="0" fillId="0" fontId="19" numFmtId="0" xfId="0" applyAlignment="1" applyFont="1">
      <alignment horizontal="left" readingOrder="0" vertical="bottom"/>
    </xf>
    <xf borderId="1" fillId="0" fontId="16" numFmtId="165" xfId="0" applyAlignment="1" applyBorder="1" applyFont="1" applyNumberFormat="1">
      <alignment horizontal="center" readingOrder="0" shrinkToFit="0" vertical="center" wrapText="0"/>
    </xf>
    <xf borderId="1" fillId="0" fontId="16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left" readingOrder="0" shrinkToFit="0" vertical="center" wrapText="0"/>
    </xf>
    <xf borderId="8" fillId="9" fontId="20" numFmtId="0" xfId="0" applyAlignment="1" applyBorder="1" applyFill="1" applyFont="1">
      <alignment horizontal="center" readingOrder="0"/>
    </xf>
    <xf borderId="1" fillId="10" fontId="21" numFmtId="0" xfId="0" applyAlignment="1" applyBorder="1" applyFill="1" applyFont="1">
      <alignment horizontal="center" shrinkToFit="0" vertical="center" wrapText="0"/>
    </xf>
    <xf borderId="8" fillId="0" fontId="22" numFmtId="0" xfId="0" applyAlignment="1" applyBorder="1" applyFont="1">
      <alignment horizontal="left" readingOrder="0"/>
    </xf>
    <xf borderId="8" fillId="0" fontId="22" numFmtId="0" xfId="0" applyAlignment="1" applyBorder="1" applyFont="1">
      <alignment horizontal="center" readingOrder="0"/>
    </xf>
    <xf borderId="1" fillId="0" fontId="16" numFmtId="164" xfId="0" applyAlignment="1" applyBorder="1" applyFont="1" applyNumberFormat="1">
      <alignment horizontal="center" readingOrder="0" shrinkToFit="0" vertical="center" wrapText="0"/>
    </xf>
    <xf borderId="8" fillId="0" fontId="22" numFmtId="9" xfId="0" applyAlignment="1" applyBorder="1" applyFont="1" applyNumberFormat="1">
      <alignment horizontal="center" readingOrder="0"/>
    </xf>
    <xf borderId="1" fillId="11" fontId="16" numFmtId="0" xfId="0" applyAlignment="1" applyBorder="1" applyFill="1" applyFont="1">
      <alignment horizontal="center" readingOrder="0" shrinkToFit="0" vertical="center" wrapText="0"/>
    </xf>
    <xf borderId="1" fillId="11" fontId="16" numFmtId="0" xfId="0" applyAlignment="1" applyBorder="1" applyFont="1">
      <alignment horizontal="center" shrinkToFit="0" vertical="center" wrapText="0"/>
    </xf>
    <xf borderId="1" fillId="11" fontId="16" numFmtId="0" xfId="0" applyAlignment="1" applyBorder="1" applyFont="1">
      <alignment horizontal="left" shrinkToFit="0" vertical="center" wrapText="0"/>
    </xf>
    <xf borderId="1" fillId="10" fontId="21" numFmtId="0" xfId="0" applyAlignment="1" applyBorder="1" applyFont="1">
      <alignment horizontal="center" readingOrder="0" shrinkToFit="0" vertical="center" wrapText="0"/>
    </xf>
    <xf borderId="1" fillId="0" fontId="16" numFmtId="0" xfId="0" applyAlignment="1" applyBorder="1" applyFont="1">
      <alignment horizontal="left" shrinkToFit="0" vertical="center" wrapText="0"/>
    </xf>
    <xf borderId="1" fillId="0" fontId="16" numFmtId="164" xfId="0" applyAlignment="1" applyBorder="1" applyFont="1" applyNumberFormat="1">
      <alignment horizontal="center" shrinkToFit="0" vertical="center" wrapText="0"/>
    </xf>
    <xf borderId="1" fillId="8" fontId="16" numFmtId="0" xfId="0" applyAlignment="1" applyBorder="1" applyFont="1">
      <alignment horizontal="left" shrinkToFit="0" vertical="center" wrapText="0"/>
    </xf>
    <xf borderId="1" fillId="8" fontId="16" numFmtId="164" xfId="0" applyAlignment="1" applyBorder="1" applyFont="1" applyNumberFormat="1">
      <alignment horizontal="center" shrinkToFit="0" vertical="center" wrapText="0"/>
    </xf>
    <xf borderId="8" fillId="0" fontId="23" numFmtId="9" xfId="0" applyAlignment="1" applyBorder="1" applyFont="1" applyNumberFormat="1">
      <alignment horizontal="center" readingOrder="0"/>
    </xf>
    <xf borderId="0" fillId="0" fontId="24" numFmtId="0" xfId="0" applyAlignment="1" applyFont="1">
      <alignment shrinkToFit="0" vertical="bottom" wrapText="0"/>
    </xf>
    <xf borderId="0" fillId="0" fontId="25" numFmtId="0" xfId="0" applyAlignment="1" applyFont="1">
      <alignment horizontal="right" shrinkToFit="0" vertical="bottom" wrapText="0"/>
    </xf>
    <xf borderId="0" fillId="0" fontId="26" numFmtId="167" xfId="0" applyAlignment="1" applyFont="1" applyNumberFormat="1">
      <alignment shrinkToFit="0" vertical="bottom" wrapText="0"/>
    </xf>
    <xf borderId="0" fillId="0" fontId="27" numFmtId="0" xfId="0" applyAlignment="1" applyFont="1">
      <alignment shrinkToFit="0" vertical="bottom" wrapText="0"/>
    </xf>
    <xf borderId="9" fillId="12" fontId="3" numFmtId="0" xfId="0" applyAlignment="1" applyBorder="1" applyFill="1" applyFont="1">
      <alignment shrinkToFit="0" vertical="bottom" wrapText="0"/>
    </xf>
    <xf borderId="10" fillId="0" fontId="12" numFmtId="0" xfId="0" applyBorder="1" applyFont="1"/>
    <xf borderId="11" fillId="12" fontId="25" numFmtId="0" xfId="0" applyAlignment="1" applyBorder="1" applyFont="1">
      <alignment shrinkToFit="0" vertical="bottom" wrapText="0"/>
    </xf>
    <xf borderId="12" fillId="0" fontId="12" numFmtId="0" xfId="0" applyBorder="1" applyFont="1"/>
    <xf borderId="11" fillId="12" fontId="3" numFmtId="0" xfId="0" applyAlignment="1" applyBorder="1" applyFont="1">
      <alignment shrinkToFit="0" vertical="bottom" wrapText="0"/>
    </xf>
    <xf borderId="11" fillId="12" fontId="28" numFmtId="0" xfId="0" applyAlignment="1" applyBorder="1" applyFont="1">
      <alignment shrinkToFit="0" vertical="bottom" wrapText="0"/>
    </xf>
    <xf borderId="1" fillId="10" fontId="16" numFmtId="0" xfId="0" applyAlignment="1" applyBorder="1" applyFont="1">
      <alignment horizontal="center" readingOrder="0" shrinkToFit="0" vertical="center" wrapText="0"/>
    </xf>
    <xf borderId="1" fillId="10" fontId="16" numFmtId="0" xfId="0" applyAlignment="1" applyBorder="1" applyFont="1">
      <alignment horizontal="left" readingOrder="0" shrinkToFit="0" vertical="center" wrapText="0"/>
    </xf>
    <xf borderId="1" fillId="10" fontId="16" numFmtId="164" xfId="0" applyAlignment="1" applyBorder="1" applyFont="1" applyNumberFormat="1">
      <alignment horizontal="center" readingOrder="0" shrinkToFit="0" vertical="center" wrapText="0"/>
    </xf>
    <xf borderId="1" fillId="10" fontId="16" numFmtId="0" xfId="0" applyAlignment="1" applyBorder="1" applyFont="1">
      <alignment horizontal="center" shrinkToFit="0" vertical="center" wrapText="0"/>
    </xf>
    <xf borderId="11" fillId="12" fontId="28" numFmtId="9" xfId="0" applyAlignment="1" applyBorder="1" applyFont="1" applyNumberFormat="1">
      <alignment shrinkToFit="0" vertical="bottom" wrapText="0"/>
    </xf>
    <xf borderId="1" fillId="13" fontId="29" numFmtId="0" xfId="0" applyAlignment="1" applyBorder="1" applyFill="1" applyFont="1">
      <alignment horizontal="center" shrinkToFit="0" vertical="center" wrapText="0"/>
    </xf>
    <xf borderId="1" fillId="10" fontId="16" numFmtId="0" xfId="0" applyAlignment="1" applyBorder="1" applyFont="1">
      <alignment horizontal="left" shrinkToFit="0" vertical="center" wrapText="0"/>
    </xf>
    <xf borderId="1" fillId="10" fontId="16" numFmtId="164" xfId="0" applyAlignment="1" applyBorder="1" applyFont="1" applyNumberFormat="1">
      <alignment horizontal="center" shrinkToFit="0" vertical="center" wrapText="0"/>
    </xf>
    <xf borderId="13" fillId="12" fontId="30" numFmtId="0" xfId="0" applyAlignment="1" applyBorder="1" applyFont="1">
      <alignment shrinkToFit="0" vertical="bottom" wrapText="0"/>
    </xf>
    <xf borderId="14" fillId="0" fontId="12" numFmtId="0" xfId="0" applyBorder="1" applyFont="1"/>
    <xf borderId="0" fillId="0" fontId="31" numFmtId="0" xfId="0" applyAlignment="1" applyFont="1">
      <alignment shrinkToFit="0" vertical="bottom" wrapText="0"/>
    </xf>
    <xf borderId="0" fillId="0" fontId="32" numFmtId="0" xfId="0" applyAlignment="1" applyFont="1">
      <alignment horizontal="left" shrinkToFit="0" vertical="bottom" wrapText="0"/>
    </xf>
    <xf borderId="1" fillId="3" fontId="9" numFmtId="0" xfId="0" applyAlignment="1" applyBorder="1" applyFont="1">
      <alignment horizontal="center" shrinkToFit="0" vertical="center" wrapText="0"/>
    </xf>
    <xf borderId="0" fillId="0" fontId="32" numFmtId="0" xfId="0" applyAlignment="1" applyFont="1">
      <alignment shrinkToFit="0" vertical="bottom" wrapText="0"/>
    </xf>
    <xf borderId="0" fillId="0" fontId="33" numFmtId="0" xfId="0" applyAlignment="1" applyFont="1">
      <alignment shrinkToFit="0" vertical="bottom" wrapText="0"/>
    </xf>
    <xf borderId="1" fillId="0" fontId="16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horizontal="left" shrinkToFit="0" vertical="bottom" wrapText="0"/>
    </xf>
    <xf borderId="0" fillId="0" fontId="34" numFmtId="0" xfId="0" applyAlignment="1" applyFont="1">
      <alignment shrinkToFit="0" vertical="bottom" wrapText="0"/>
    </xf>
    <xf borderId="0" fillId="0" fontId="26" numFmtId="9" xfId="0" applyAlignment="1" applyFont="1" applyNumberFormat="1">
      <alignment horizontal="left" shrinkToFit="0" vertical="bottom" wrapText="0"/>
    </xf>
    <xf borderId="15" fillId="5" fontId="17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0" fillId="0" fontId="35" numFmtId="0" xfId="0" applyAlignment="1" applyFont="1">
      <alignment shrinkToFit="0" vertical="bottom" wrapText="0"/>
    </xf>
    <xf borderId="0" fillId="0" fontId="2" numFmtId="0" xfId="0" applyAlignment="1" applyFont="1">
      <alignment horizontal="left" vertical="bottom"/>
    </xf>
    <xf borderId="0" fillId="0" fontId="26" numFmtId="0" xfId="0" applyAlignment="1" applyFont="1">
      <alignment shrinkToFit="0" vertical="bottom" wrapText="0"/>
    </xf>
    <xf borderId="11" fillId="12" fontId="28" numFmtId="168" xfId="0" applyAlignment="1" applyBorder="1" applyFont="1" applyNumberFormat="1">
      <alignment shrinkToFit="0" vertical="bottom" wrapText="0"/>
    </xf>
    <xf borderId="11" fillId="12" fontId="28" numFmtId="169" xfId="0" applyAlignment="1" applyBorder="1" applyFont="1" applyNumberFormat="1">
      <alignment shrinkToFit="0" vertical="bottom" wrapText="0"/>
    </xf>
    <xf borderId="0" fillId="0" fontId="36" numFmtId="0" xfId="0" applyAlignment="1" applyFont="1">
      <alignment shrinkToFit="0" vertical="bottom" wrapText="0"/>
    </xf>
    <xf borderId="16" fillId="0" fontId="37" numFmtId="0" xfId="0" applyAlignment="1" applyBorder="1" applyFont="1">
      <alignment horizontal="center" shrinkToFit="0" vertical="center" wrapText="0"/>
    </xf>
    <xf borderId="17" fillId="0" fontId="12" numFmtId="0" xfId="0" applyBorder="1" applyFont="1"/>
    <xf borderId="18" fillId="0" fontId="12" numFmtId="0" xfId="0" applyBorder="1" applyFont="1"/>
    <xf borderId="0" fillId="0" fontId="38" numFmtId="0" xfId="0" applyAlignment="1" applyFont="1">
      <alignment shrinkToFit="0" vertical="bottom" wrapText="0"/>
    </xf>
    <xf borderId="19" fillId="0" fontId="39" numFmtId="0" xfId="0" applyAlignment="1" applyBorder="1" applyFont="1">
      <alignment horizontal="center" shrinkToFit="0" vertical="center" wrapText="0"/>
    </xf>
    <xf borderId="20" fillId="0" fontId="12" numFmtId="0" xfId="0" applyBorder="1" applyFont="1"/>
    <xf borderId="0" fillId="0" fontId="40" numFmtId="0" xfId="0" applyAlignment="1" applyFont="1">
      <alignment shrinkToFit="0" vertical="bottom" wrapText="0"/>
    </xf>
    <xf borderId="1" fillId="14" fontId="41" numFmtId="0" xfId="0" applyAlignment="1" applyBorder="1" applyFill="1" applyFont="1">
      <alignment shrinkToFit="0" vertical="bottom" wrapText="0"/>
    </xf>
    <xf borderId="19" fillId="0" fontId="42" numFmtId="0" xfId="0" applyAlignment="1" applyBorder="1" applyFont="1">
      <alignment horizontal="center" shrinkToFit="0" vertical="center" wrapText="0"/>
    </xf>
    <xf borderId="19" fillId="0" fontId="3" numFmtId="0" xfId="0" applyAlignment="1" applyBorder="1" applyFont="1">
      <alignment shrinkToFit="0" vertical="bottom" wrapText="0"/>
    </xf>
    <xf borderId="20" fillId="0" fontId="3" numFmtId="0" xfId="0" applyAlignment="1" applyBorder="1" applyFont="1">
      <alignment shrinkToFit="0" vertical="bottom" wrapText="0"/>
    </xf>
    <xf borderId="19" fillId="0" fontId="38" numFmtId="0" xfId="0" applyAlignment="1" applyBorder="1" applyFont="1">
      <alignment shrinkToFit="0" vertical="bottom" wrapText="0"/>
    </xf>
    <xf borderId="0" fillId="0" fontId="43" numFmtId="0" xfId="0" applyAlignment="1" applyFont="1">
      <alignment shrinkToFit="0" vertical="bottom" wrapText="0"/>
    </xf>
    <xf borderId="15" fillId="14" fontId="43" numFmtId="0" xfId="0" applyAlignment="1" applyBorder="1" applyFont="1">
      <alignment shrinkToFit="0" vertical="bottom" wrapText="0"/>
    </xf>
    <xf borderId="21" fillId="0" fontId="44" numFmtId="0" xfId="0" applyAlignment="1" applyBorder="1" applyFont="1">
      <alignment horizontal="center" shrinkToFit="0" vertical="center" wrapText="0"/>
    </xf>
    <xf borderId="22" fillId="0" fontId="12" numFmtId="0" xfId="0" applyBorder="1" applyFont="1"/>
    <xf borderId="23" fillId="0" fontId="44" numFmtId="0" xfId="0" applyAlignment="1" applyBorder="1" applyFont="1">
      <alignment horizontal="center" shrinkToFit="0" vertical="center" wrapText="0"/>
    </xf>
    <xf borderId="24" fillId="0" fontId="12" numFmtId="0" xfId="0" applyBorder="1" applyFont="1"/>
    <xf borderId="21" fillId="0" fontId="45" numFmtId="164" xfId="0" applyAlignment="1" applyBorder="1" applyFont="1" applyNumberFormat="1">
      <alignment horizontal="center" shrinkToFit="0" vertical="center" wrapText="0"/>
    </xf>
    <xf borderId="23" fillId="0" fontId="45" numFmtId="0" xfId="0" applyAlignment="1" applyBorder="1" applyFont="1">
      <alignment horizontal="center" shrinkToFit="0" vertical="center" wrapText="0"/>
    </xf>
    <xf borderId="21" fillId="0" fontId="46" numFmtId="0" xfId="0" applyAlignment="1" applyBorder="1" applyFont="1">
      <alignment horizontal="center" shrinkToFit="0" vertical="center" wrapText="0"/>
    </xf>
    <xf borderId="23" fillId="0" fontId="46" numFmtId="0" xfId="0" applyAlignment="1" applyBorder="1" applyFont="1">
      <alignment horizontal="center" shrinkToFit="0" vertical="center" wrapText="0"/>
    </xf>
    <xf borderId="19" fillId="0" fontId="38" numFmtId="0" xfId="0" applyAlignment="1" applyBorder="1" applyFont="1">
      <alignment readingOrder="0" shrinkToFit="0" vertical="bottom" wrapText="0"/>
    </xf>
    <xf borderId="25" fillId="0" fontId="46" numFmtId="164" xfId="0" applyAlignment="1" applyBorder="1" applyFont="1" applyNumberFormat="1">
      <alignment horizontal="center" readingOrder="0" shrinkToFit="0" vertical="center" wrapText="0"/>
    </xf>
    <xf borderId="26" fillId="0" fontId="12" numFmtId="0" xfId="0" applyBorder="1" applyFont="1"/>
    <xf borderId="27" fillId="0" fontId="12" numFmtId="0" xfId="0" applyBorder="1" applyFont="1"/>
    <xf borderId="28" fillId="5" fontId="14" numFmtId="0" xfId="0" applyAlignment="1" applyBorder="1" applyFont="1">
      <alignment horizontal="center" shrinkToFit="0" vertical="center" wrapText="1"/>
    </xf>
    <xf borderId="29" fillId="5" fontId="14" numFmtId="0" xfId="0" applyAlignment="1" applyBorder="1" applyFont="1">
      <alignment horizontal="center" shrinkToFit="0" vertical="center" wrapText="1"/>
    </xf>
    <xf borderId="28" fillId="0" fontId="16" numFmtId="0" xfId="0" applyAlignment="1" applyBorder="1" applyFont="1">
      <alignment horizontal="center" readingOrder="0" shrinkToFit="0" vertical="center" wrapText="0"/>
    </xf>
    <xf borderId="1" fillId="0" fontId="16" numFmtId="170" xfId="0" applyAlignment="1" applyBorder="1" applyFont="1" applyNumberFormat="1">
      <alignment horizontal="center" readingOrder="0" shrinkToFit="0" vertical="center" wrapText="0"/>
    </xf>
    <xf borderId="1" fillId="0" fontId="16" numFmtId="20" xfId="0" applyAlignment="1" applyBorder="1" applyFont="1" applyNumberFormat="1">
      <alignment horizontal="center" readingOrder="0" shrinkToFit="0" vertical="center" wrapText="0"/>
    </xf>
    <xf borderId="29" fillId="0" fontId="16" numFmtId="0" xfId="0" applyAlignment="1" applyBorder="1" applyFont="1">
      <alignment horizontal="center" shrinkToFit="0" vertical="center" wrapText="0"/>
    </xf>
    <xf borderId="28" fillId="0" fontId="16" numFmtId="0" xfId="0" applyAlignment="1" applyBorder="1" applyFont="1">
      <alignment horizontal="center" shrinkToFit="0" vertical="center" wrapText="0"/>
    </xf>
    <xf borderId="1" fillId="0" fontId="16" numFmtId="170" xfId="0" applyAlignment="1" applyBorder="1" applyFont="1" applyNumberFormat="1">
      <alignment horizontal="center" shrinkToFit="0" vertical="center" wrapText="0"/>
    </xf>
    <xf borderId="19" fillId="0" fontId="42" numFmtId="0" xfId="0" applyAlignment="1" applyBorder="1" applyFont="1">
      <alignment shrinkToFit="0" vertical="bottom" wrapText="0"/>
    </xf>
    <xf borderId="19" fillId="0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30" fillId="0" fontId="16" numFmtId="0" xfId="0" applyAlignment="1" applyBorder="1" applyFont="1">
      <alignment shrinkToFit="0" vertical="bottom" wrapText="0"/>
    </xf>
    <xf borderId="31" fillId="0" fontId="12" numFmtId="0" xfId="0" applyBorder="1" applyFont="1"/>
    <xf borderId="31" fillId="0" fontId="16" numFmtId="0" xfId="0" applyAlignment="1" applyBorder="1" applyFont="1">
      <alignment shrinkToFit="0" vertical="bottom" wrapText="0"/>
    </xf>
    <xf borderId="32" fillId="0" fontId="12" numFmtId="0" xfId="0" applyBorder="1" applyFont="1"/>
    <xf borderId="33" fillId="0" fontId="47" numFmtId="0" xfId="0" applyAlignment="1" applyBorder="1" applyFont="1">
      <alignment horizontal="center" shrinkToFit="0" vertical="center" wrapText="0"/>
    </xf>
    <xf borderId="34" fillId="0" fontId="12" numFmtId="0" xfId="0" applyBorder="1" applyFont="1"/>
    <xf borderId="33" fillId="0" fontId="48" numFmtId="0" xfId="0" applyAlignment="1" applyBorder="1" applyFont="1">
      <alignment horizontal="center" shrinkToFit="0" vertical="center" wrapText="0"/>
    </xf>
    <xf borderId="35" fillId="0" fontId="12" numFmtId="0" xfId="0" applyBorder="1" applyFont="1"/>
    <xf borderId="0" fillId="0" fontId="49" numFmtId="0" xfId="0" applyAlignment="1" applyFont="1">
      <alignment horizontal="left" shrinkToFit="0" vertical="center" wrapText="0"/>
    </xf>
    <xf borderId="0" fillId="0" fontId="50" numFmtId="0" xfId="0" applyAlignment="1" applyFont="1">
      <alignment shrinkToFit="0" vertical="bottom" wrapText="0"/>
    </xf>
    <xf borderId="23" fillId="0" fontId="9" numFmtId="164" xfId="0" applyAlignment="1" applyBorder="1" applyFont="1" applyNumberFormat="1">
      <alignment shrinkToFit="0" vertical="bottom" wrapText="0"/>
    </xf>
    <xf borderId="36" fillId="5" fontId="14" numFmtId="0" xfId="0" applyAlignment="1" applyBorder="1" applyFont="1">
      <alignment horizontal="center" shrinkToFit="0" vertical="center" wrapText="1"/>
    </xf>
    <xf borderId="23" fillId="7" fontId="17" numFmtId="171" xfId="0" applyAlignment="1" applyBorder="1" applyFont="1" applyNumberFormat="1">
      <alignment horizontal="center" shrinkToFit="0" vertical="center" wrapText="0"/>
    </xf>
    <xf borderId="37" fillId="0" fontId="12" numFmtId="0" xfId="0" applyBorder="1" applyFont="1"/>
    <xf borderId="38" fillId="0" fontId="12" numFmtId="0" xfId="0" applyBorder="1" applyFont="1"/>
    <xf borderId="1" fillId="7" fontId="51" numFmtId="0" xfId="0" applyAlignment="1" applyBorder="1" applyFont="1">
      <alignment horizontal="center" shrinkToFit="0" vertical="center" wrapText="0"/>
    </xf>
    <xf borderId="39" fillId="15" fontId="52" numFmtId="0" xfId="0" applyAlignment="1" applyBorder="1" applyFill="1" applyFont="1">
      <alignment horizontal="left" shrinkToFit="0" vertical="center" wrapText="0"/>
    </xf>
    <xf borderId="40" fillId="0" fontId="12" numFmtId="0" xfId="0" applyBorder="1" applyFont="1"/>
    <xf borderId="41" fillId="0" fontId="12" numFmtId="0" xfId="0" applyBorder="1" applyFont="1"/>
    <xf borderId="1" fillId="0" fontId="16" numFmtId="172" xfId="0" applyAlignment="1" applyBorder="1" applyFont="1" applyNumberFormat="1">
      <alignment horizontal="center" readingOrder="0" shrinkToFit="0" vertical="center" wrapText="0"/>
    </xf>
    <xf borderId="0" fillId="0" fontId="3" numFmtId="170" xfId="0" applyAlignment="1" applyFont="1" applyNumberFormat="1">
      <alignment shrinkToFit="0" vertical="bottom" wrapText="0"/>
    </xf>
    <xf borderId="25" fillId="0" fontId="46" numFmtId="164" xfId="0" applyAlignment="1" applyBorder="1" applyFont="1" applyNumberFormat="1">
      <alignment horizontal="center" shrinkToFit="0" vertical="center" wrapText="0"/>
    </xf>
    <xf borderId="0" fillId="0" fontId="3" numFmtId="172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14" xfId="0" applyAlignment="1" applyFont="1" applyNumberFormat="1">
      <alignment readingOrder="0" shrinkToFit="0" vertical="bottom" wrapText="0"/>
    </xf>
    <xf borderId="0" fillId="0" fontId="3" numFmtId="173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11"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  <border/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  <border/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  <border/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  <border/>
    </dxf>
    <dxf>
      <font>
        <b/>
        <sz val="28.0"/>
        <color rgb="FFC0504D"/>
        <name val="Arial"/>
      </font>
      <fill>
        <patternFill patternType="none"/>
      </fill>
      <border/>
    </dxf>
    <dxf>
      <font>
        <b/>
        <sz val="28.0"/>
        <color rgb="FF2E7D5B"/>
        <name val="Arial"/>
      </font>
      <fill>
        <patternFill patternType="none"/>
      </fill>
      <border/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  <border/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  <border/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  <border/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  <border/>
    </dxf>
    <dxf>
      <font/>
      <fill>
        <patternFill patternType="solid">
          <fgColor rgb="FFEDEDE8"/>
          <bgColor rgb="FFEDEDE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v>Discharges</c:v>
          </c:tx>
          <c:spPr>
            <a:ln cmpd="sng" w="19050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</c:strRef>
          </c:cat>
          <c:val>
            <c:numRef>
              <c:f>Dashboard!$C$34:$C$45</c:f>
              <c:numCache/>
            </c:numRef>
          </c:val>
          <c:smooth val="0"/>
        </c:ser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65647542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31404610"/>
      </c:valAx>
    </c:plotArea>
    <c:plotVisOnly val="1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0</xdr:colOff>
      <xdr:row>31</xdr:row>
      <xdr:rowOff>38100</xdr:rowOff>
    </xdr:from>
    <xdr:ext cx="8515350" cy="28860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12.0"/>
    <col customWidth="1" min="3" max="3" width="2.0"/>
    <col customWidth="1" min="4" max="4" width="12.0"/>
    <col customWidth="1" min="5" max="5" width="2.0"/>
    <col customWidth="1" min="6" max="6" width="12.0"/>
    <col customWidth="1" min="7" max="7" width="2.0"/>
    <col customWidth="1" min="8" max="8" width="12.0"/>
    <col customWidth="1" min="9" max="9" width="2.0"/>
    <col customWidth="1" min="10" max="10" width="12.0"/>
    <col customWidth="1" min="11" max="11" width="2.0"/>
    <col customWidth="1" min="12" max="12" width="14.0"/>
    <col customWidth="1" min="13" max="13" width="2.0"/>
    <col customWidth="1" min="14" max="14" width="14.0"/>
    <col customWidth="1" min="15" max="15" width="10.0"/>
    <col customWidth="1" min="16" max="26" width="8.71"/>
  </cols>
  <sheetData>
    <row r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6.25" customHeight="1">
      <c r="A2" s="3"/>
      <c r="B2" s="51" t="s">
        <v>82</v>
      </c>
      <c r="N2" s="52" t="s">
        <v>87</v>
      </c>
      <c r="O2" s="53">
        <f>TODAY()</f>
        <v>46236</v>
      </c>
      <c r="P2" s="3"/>
    </row>
    <row r="3" ht="15.0" customHeight="1">
      <c r="A3" s="3"/>
      <c r="B3" s="54" t="s">
        <v>91</v>
      </c>
      <c r="N3" s="3"/>
      <c r="O3" s="3"/>
      <c r="P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ht="15.0" customHeight="1">
      <c r="A5" s="3"/>
      <c r="B5" s="55"/>
      <c r="C5" s="56"/>
      <c r="D5" s="55"/>
      <c r="E5" s="56"/>
      <c r="F5" s="55"/>
      <c r="G5" s="56"/>
      <c r="H5" s="55"/>
      <c r="I5" s="56"/>
      <c r="J5" s="55"/>
      <c r="K5" s="56"/>
      <c r="L5" s="3"/>
      <c r="M5" s="3"/>
      <c r="N5" s="3"/>
      <c r="O5" s="3"/>
      <c r="P5" s="3"/>
    </row>
    <row r="6" ht="15.0" customHeight="1">
      <c r="A6" s="3"/>
      <c r="B6" s="57" t="s">
        <v>37</v>
      </c>
      <c r="C6" s="58"/>
      <c r="D6" s="57" t="s">
        <v>40</v>
      </c>
      <c r="E6" s="58"/>
      <c r="F6" s="57" t="s">
        <v>95</v>
      </c>
      <c r="G6" s="58"/>
      <c r="H6" s="57" t="s">
        <v>96</v>
      </c>
      <c r="I6" s="58"/>
      <c r="J6" s="57" t="s">
        <v>97</v>
      </c>
      <c r="K6" s="58"/>
      <c r="L6" s="3"/>
      <c r="M6" s="3"/>
      <c r="N6" s="3"/>
      <c r="O6" s="3"/>
      <c r="P6" s="3"/>
    </row>
    <row r="7" ht="15.0" customHeight="1">
      <c r="A7" s="3"/>
      <c r="B7" s="59"/>
      <c r="C7" s="58"/>
      <c r="D7" s="59"/>
      <c r="E7" s="58"/>
      <c r="F7" s="59"/>
      <c r="G7" s="58"/>
      <c r="H7" s="59"/>
      <c r="I7" s="58"/>
      <c r="J7" s="59"/>
      <c r="K7" s="58"/>
      <c r="L7" s="3"/>
      <c r="M7" s="3"/>
      <c r="N7" s="3"/>
      <c r="O7" s="3"/>
      <c r="P7" s="3"/>
    </row>
    <row r="8" ht="30.0" customHeight="1">
      <c r="A8" s="3"/>
      <c r="B8" s="60">
        <f>SUMPRODUCT((YEAR(Discharge!$T$5:$T$204)=YEAR($O$2))*(Discharge!$T$5:$T$204&lt;&gt;""))+SUMPRODUCT((YEAR('Yearly Log'!$T$5:$T$204)=YEAR($O$2))*('Yearly Log'!$T$5:$T$204&lt;&gt;""))</f>
        <v>61</v>
      </c>
      <c r="C8" s="58"/>
      <c r="D8" s="65">
        <f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0.3442622951</v>
      </c>
      <c r="E8" s="58"/>
      <c r="F8" s="60">
        <f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58"/>
      <c r="H8" s="60">
        <f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58"/>
      <c r="J8" s="65">
        <f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0.3155737705</v>
      </c>
      <c r="K8" s="58"/>
      <c r="L8" s="3"/>
      <c r="M8" s="3"/>
      <c r="N8" s="3"/>
      <c r="O8" s="3"/>
      <c r="P8" s="3"/>
    </row>
    <row r="9" ht="15.0" customHeight="1">
      <c r="A9" s="3"/>
      <c r="B9" s="69" t="s">
        <v>108</v>
      </c>
      <c r="C9" s="70"/>
      <c r="D9" s="69" t="s">
        <v>108</v>
      </c>
      <c r="E9" s="70"/>
      <c r="F9" s="69" t="s">
        <v>109</v>
      </c>
      <c r="G9" s="70"/>
      <c r="H9" s="69" t="s">
        <v>109</v>
      </c>
      <c r="I9" s="70"/>
      <c r="J9" s="69" t="s">
        <v>111</v>
      </c>
      <c r="K9" s="70"/>
      <c r="L9" s="3"/>
      <c r="M9" s="3"/>
      <c r="N9" s="3"/>
      <c r="O9" s="3"/>
      <c r="P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ht="19.5" customHeight="1">
      <c r="A12" s="3"/>
      <c r="B12" s="72" t="s">
        <v>57</v>
      </c>
      <c r="F12" s="74" t="s">
        <v>114</v>
      </c>
      <c r="J12" s="74" t="s">
        <v>116</v>
      </c>
      <c r="O12" s="3"/>
      <c r="P12" s="3"/>
    </row>
    <row r="13" ht="15.75" customHeight="1">
      <c r="A13" s="3"/>
      <c r="B13" s="75" t="s">
        <v>69</v>
      </c>
      <c r="C13" s="78">
        <f>SUMPRODUCT((YEAR(Discharge!$T$5:$T$204)=YEAR($O$2))*(Discharge!$G$5:$G$204="Oceans"))+SUMPRODUCT((YEAR('Yearly Log'!$T$5:$T$204)=YEAR($O$2))*('Yearly Log'!$G$5:$G$204="Oceans"))</f>
        <v>13</v>
      </c>
      <c r="E13" s="3"/>
      <c r="F13" s="75" t="s">
        <v>27</v>
      </c>
      <c r="G13" s="80">
        <f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</v>
      </c>
      <c r="J13" s="75" t="s">
        <v>119</v>
      </c>
      <c r="K13" s="3"/>
      <c r="L13" s="78">
        <f>SUMPRODUCT((YEAR(Discharge!$T$5:$T$204)=YEAR($O$2))*(Discharge!$P$5:$P$204="Cenikor"))+SUMPRODUCT((YEAR('Yearly Log'!$T$5:$T$204)=YEAR($O$2))*('Yearly Log'!$P$5:$P$204="Cenikor"))</f>
        <v>8</v>
      </c>
      <c r="O13" s="3"/>
      <c r="P13" s="3"/>
    </row>
    <row r="14" ht="15.75" customHeight="1">
      <c r="A14" s="3"/>
      <c r="B14" s="75" t="s">
        <v>72</v>
      </c>
      <c r="C14" s="78">
        <f>SUMPRODUCT((YEAR(Discharge!$T$5:$T$204)=YEAR($O$2))*(Discharge!$G$5:$G$204="Bayview"))+SUMPRODUCT((YEAR('Yearly Log'!$T$5:$T$204)=YEAR($O$2))*('Yearly Log'!$G$5:$G$204="Bayview"))</f>
        <v>6</v>
      </c>
      <c r="E14" s="3"/>
      <c r="F14" s="75" t="s">
        <v>31</v>
      </c>
      <c r="G14" s="80">
        <f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0.2786885246</v>
      </c>
      <c r="J14" s="75" t="s">
        <v>148</v>
      </c>
      <c r="K14" s="3"/>
      <c r="L14" s="78">
        <f>SUMPRODUCT((YEAR(Discharge!$T$5:$T$204)=YEAR($O$2))*(Discharge!$P$5:$P$204="Lifetime Recovery"))+SUMPRODUCT((YEAR('Yearly Log'!$T$5:$T$204)=YEAR($O$2))*('Yearly Log'!$P$5:$P$204="Lifetime Recovery"))</f>
        <v>3</v>
      </c>
      <c r="O14" s="3"/>
      <c r="P14" s="3"/>
    </row>
    <row r="15" ht="15.75" customHeight="1">
      <c r="A15" s="3"/>
      <c r="B15" s="75" t="s">
        <v>45</v>
      </c>
      <c r="C15" s="78">
        <f>SUMPRODUCT((YEAR(Discharge!$T$5:$T$204)=YEAR($O$2))*(Discharge!$G$5:$G$204="PubDef"))+SUMPRODUCT((YEAR('Yearly Log'!$T$5:$T$204)=YEAR($O$2))*('Yearly Log'!$G$5:$G$204="PubDef"))</f>
        <v>5</v>
      </c>
      <c r="E15" s="3"/>
      <c r="F15" s="75" t="s">
        <v>29</v>
      </c>
      <c r="G15" s="80">
        <f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</v>
      </c>
      <c r="J15" s="75" t="s">
        <v>149</v>
      </c>
      <c r="K15" s="3"/>
      <c r="L15" s="78">
        <f>SUMPRODUCT((YEAR(Discharge!$T$5:$T$204)=YEAR($O$2))*(Discharge!$P$5:$P$204="Liberty Lodge"))+SUMPRODUCT((YEAR('Yearly Log'!$T$5:$T$204)=YEAR($O$2))*('Yearly Log'!$P$5:$P$204="Liberty Lodge"))</f>
        <v>8</v>
      </c>
      <c r="O15" s="3"/>
      <c r="P15" s="3"/>
    </row>
    <row r="16" ht="15.75" customHeight="1">
      <c r="A16" s="3"/>
      <c r="B16" s="75" t="s">
        <v>68</v>
      </c>
      <c r="C16" s="78">
        <f>SUMPRODUCT((YEAR(Discharge!$T$5:$T$204)=YEAR($O$2))*(Discharge!$G$5:$G$204="MCOT"))+SUMPRODUCT((YEAR('Yearly Log'!$T$5:$T$204)=YEAR($O$2))*('Yearly Log'!$G$5:$G$204="MCOT"))</f>
        <v>9</v>
      </c>
      <c r="E16" s="3"/>
      <c r="F16" s="75" t="s">
        <v>28</v>
      </c>
      <c r="G16" s="80">
        <f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</v>
      </c>
      <c r="J16" s="75" t="s">
        <v>152</v>
      </c>
      <c r="K16" s="3"/>
      <c r="L16" s="78">
        <f>SUMPRODUCT((YEAR(Discharge!$T$5:$T$204)=YEAR($O$2))*(Discharge!$Q$5:$Q$204="Oxford House"))+SUMPRODUCT((YEAR('Yearly Log'!$T$5:$T$204)=YEAR($O$2))*('Yearly Log'!$Q$5:$Q$204="Oxford House"))</f>
        <v>5</v>
      </c>
      <c r="O16" s="3"/>
      <c r="P16" s="3"/>
    </row>
    <row r="17" ht="15.75" customHeight="1">
      <c r="A17" s="3"/>
      <c r="B17" s="75" t="s">
        <v>67</v>
      </c>
      <c r="C17" s="78">
        <f>SUMPRODUCT((YEAR(Discharge!$T$5:$T$204)=YEAR($O$2))*(Discharge!$G$5:$G$204="CaseMgr"))+SUMPRODUCT((YEAR('Yearly Log'!$T$5:$T$204)=YEAR($O$2))*('Yearly Log'!$G$5:$G$204="CaseMgr"))</f>
        <v>4</v>
      </c>
      <c r="E17" s="3"/>
      <c r="F17" s="3"/>
      <c r="G17" s="3"/>
      <c r="H17" s="3"/>
      <c r="I17" s="3"/>
      <c r="J17" s="75" t="s">
        <v>153</v>
      </c>
      <c r="K17" s="3"/>
      <c r="L17" s="78">
        <f>SUMPRODUCT((YEAR(Discharge!$T$5:$T$204)=YEAR($O$2))*(Discharge!$Q$5:$Q$204="Wenholtz House"))+SUMPRODUCT((YEAR('Yearly Log'!$T$5:$T$204)=YEAR($O$2))*('Yearly Log'!$Q$5:$Q$204="Wenholtz House"))</f>
        <v>2</v>
      </c>
      <c r="O17" s="3"/>
      <c r="P17" s="3"/>
    </row>
    <row r="18" ht="15.75" customHeight="1">
      <c r="A18" s="3"/>
      <c r="B18" s="75" t="s">
        <v>62</v>
      </c>
      <c r="C18" s="78">
        <f>SUMPRODUCT((YEAR(Discharge!$T$5:$T$204)=YEAR($O$2))*(Discharge!$G$5:$G$204="OCR"))+SUMPRODUCT((YEAR('Yearly Log'!$T$5:$T$204)=YEAR($O$2))*('Yearly Log'!$G$5:$G$204="OCR"))</f>
        <v>7</v>
      </c>
      <c r="E18" s="3"/>
      <c r="F18" s="74" t="s">
        <v>159</v>
      </c>
      <c r="J18" s="75" t="s">
        <v>154</v>
      </c>
      <c r="K18" s="3"/>
      <c r="L18" s="78">
        <f>SUMPRODUCT((YEAR(Discharge!$T$5:$T$204)=YEAR($O$2))*(Discharge!$Q$5:$Q$204="Rustic House"))+SUMPRODUCT((YEAR('Yearly Log'!$T$5:$T$204)=YEAR($O$2))*('Yearly Log'!$Q$5:$Q$204="Rustic House"))</f>
        <v>2</v>
      </c>
      <c r="O18" s="3"/>
      <c r="P18" s="3"/>
    </row>
    <row r="19" ht="15.75" customHeight="1">
      <c r="A19" s="3"/>
      <c r="B19" s="75" t="s">
        <v>160</v>
      </c>
      <c r="C19" s="78">
        <f>SUMPRODUCT((YEAR(Discharge!$T$5:$T$204)=YEAR($O$2))*(Discharge!$G$5:$G$204="IDD"))+SUMPRODUCT((YEAR('Yearly Log'!$T$5:$T$204)=YEAR($O$2))*('Yearly Log'!$G$5:$G$204="IDD"))</f>
        <v>2</v>
      </c>
      <c r="E19" s="3"/>
      <c r="F19" s="75" t="s">
        <v>161</v>
      </c>
      <c r="G19" s="85">
        <f>SUMPRODUCT((YEAR(Discharge!$T$5:$T$204)=YEAR($O$2))*(Discharge!$U$5:$U$204="✓"))+SUMPRODUCT((YEAR('Yearly Log'!$T$5:$T$204)=YEAR($O$2))*('Yearly Log'!$U$5:$U$204="✓"))</f>
        <v>21</v>
      </c>
      <c r="J19" s="75" t="s">
        <v>155</v>
      </c>
      <c r="K19" s="3"/>
      <c r="L19" s="78">
        <f>SUMPRODUCT((YEAR(Discharge!$T$5:$T$204)=YEAR($O$2))*(Discharge!$Q$5:$Q$204="Broken Chains"))+SUMPRODUCT((YEAR('Yearly Log'!$T$5:$T$204)=YEAR($O$2))*('Yearly Log'!$Q$5:$Q$204="Broken Chains"))</f>
        <v>1</v>
      </c>
      <c r="O19" s="3"/>
      <c r="P19" s="3"/>
    </row>
    <row r="20" ht="15.75" customHeight="1">
      <c r="A20" s="3"/>
      <c r="B20" s="75" t="s">
        <v>74</v>
      </c>
      <c r="C20" s="78">
        <f>SUMPRODUCT((YEAR(Discharge!$T$5:$T$204)=YEAR($O$2))*(Discharge!$G$5:$G$204="OTHER"))+SUMPRODUCT((YEAR('Yearly Log'!$T$5:$T$204)=YEAR($O$2))*('Yearly Log'!$G$5:$G$204="OTHER"))</f>
        <v>6</v>
      </c>
      <c r="E20" s="3"/>
      <c r="F20" s="75" t="s">
        <v>162</v>
      </c>
      <c r="G20" s="85">
        <f>SUMPRODUCT((YEAR(Discharge!$T$5:$T$204)=YEAR($O$2))*(Discharge!$U$5:$U$204="✗"))+SUMPRODUCT((YEAR('Yearly Log'!$T$5:$T$204)=YEAR($O$2))*('Yearly Log'!$U$5:$U$204="✗"))</f>
        <v>9</v>
      </c>
      <c r="J20" s="75" t="s">
        <v>157</v>
      </c>
      <c r="K20" s="3"/>
      <c r="L20" s="78">
        <f>SUMPRODUCT((YEAR(Discharge!$T$5:$T$204)=YEAR($O$2))*(Discharge!$O$5:$O$204="Good Sam"))+SUMPRODUCT((YEAR('Yearly Log'!$T$5:$T$204)=YEAR($O$2))*('Yearly Log'!$O$5:$O$204="Good Sam"))</f>
        <v>15</v>
      </c>
      <c r="O20" s="3"/>
      <c r="P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75" t="s">
        <v>158</v>
      </c>
      <c r="K21" s="3"/>
      <c r="L21" s="78">
        <f>SUMPRODUCT((YEAR(Discharge!$T$5:$T$204)=YEAR($O$2))*(Discharge!$O$5:$O$204="Salvation Army"))+SUMPRODUCT((YEAR('Yearly Log'!$T$5:$T$204)=YEAR($O$2))*('Yearly Log'!$O$5:$O$204="Salvation Army"))</f>
        <v>13</v>
      </c>
      <c r="O21" s="3"/>
      <c r="P21" s="3"/>
    </row>
    <row r="22" ht="15.0" customHeight="1">
      <c r="A22" s="3"/>
      <c r="B22" s="55"/>
      <c r="C22" s="56"/>
      <c r="D22" s="55"/>
      <c r="E22" s="56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ht="15.0" customHeight="1">
      <c r="A23" s="3"/>
      <c r="B23" s="57" t="s">
        <v>163</v>
      </c>
      <c r="C23" s="58"/>
      <c r="D23" s="57" t="s">
        <v>164</v>
      </c>
      <c r="E23" s="58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ht="15.0" customHeight="1">
      <c r="A24" s="3"/>
      <c r="B24" s="59"/>
      <c r="C24" s="58"/>
      <c r="D24" s="59"/>
      <c r="E24" s="58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ht="30.0" customHeight="1">
      <c r="A25" s="3"/>
      <c r="B25" s="86">
        <f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25.30769231</v>
      </c>
      <c r="C25" s="58"/>
      <c r="D25" s="87">
        <f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58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ht="15.0" customHeight="1">
      <c r="A26" s="3"/>
      <c r="B26" s="69" t="s">
        <v>165</v>
      </c>
      <c r="C26" s="70"/>
      <c r="D26" s="69" t="s">
        <v>166</v>
      </c>
      <c r="E26" s="70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ht="15.0" customHeight="1">
      <c r="A32" s="3"/>
      <c r="B32" s="74" t="s">
        <v>167</v>
      </c>
      <c r="O32" s="3"/>
      <c r="P32" s="3"/>
    </row>
    <row r="33" ht="15.0" customHeight="1">
      <c r="A33" s="3"/>
      <c r="B33" s="88" t="s">
        <v>168</v>
      </c>
      <c r="C33" s="88" t="s">
        <v>55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ht="15.0" customHeight="1">
      <c r="A34" s="3"/>
      <c r="B34" s="75" t="s">
        <v>169</v>
      </c>
      <c r="C34" s="75">
        <f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ht="15.0" customHeight="1">
      <c r="A35" s="3"/>
      <c r="B35" s="75" t="s">
        <v>170</v>
      </c>
      <c r="C35" s="75">
        <f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ht="15.0" customHeight="1">
      <c r="A36" s="3"/>
      <c r="B36" s="75" t="s">
        <v>171</v>
      </c>
      <c r="C36" s="75">
        <f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ht="15.0" customHeight="1">
      <c r="A37" s="3"/>
      <c r="B37" s="75" t="s">
        <v>172</v>
      </c>
      <c r="C37" s="75">
        <f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ht="15.0" customHeight="1">
      <c r="A38" s="3"/>
      <c r="B38" s="75" t="s">
        <v>173</v>
      </c>
      <c r="C38" s="75">
        <f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ht="15.0" customHeight="1">
      <c r="A39" s="3"/>
      <c r="B39" s="75" t="s">
        <v>174</v>
      </c>
      <c r="C39" s="75">
        <f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ht="15.0" customHeight="1">
      <c r="A40" s="3"/>
      <c r="B40" s="75" t="s">
        <v>175</v>
      </c>
      <c r="C40" s="75">
        <f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ht="15.0" customHeight="1">
      <c r="A41" s="3"/>
      <c r="B41" s="75" t="s">
        <v>176</v>
      </c>
      <c r="C41" s="75">
        <f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ht="15.0" customHeight="1">
      <c r="A42" s="3"/>
      <c r="B42" s="75" t="s">
        <v>177</v>
      </c>
      <c r="C42" s="75">
        <f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ht="15.0" customHeight="1">
      <c r="A43" s="3"/>
      <c r="B43" s="75" t="s">
        <v>178</v>
      </c>
      <c r="C43" s="75">
        <f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ht="15.0" customHeight="1">
      <c r="A44" s="3"/>
      <c r="B44" s="75" t="s">
        <v>179</v>
      </c>
      <c r="C44" s="75">
        <f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ht="15.0" customHeight="1">
      <c r="A45" s="3"/>
      <c r="B45" s="75" t="s">
        <v>180</v>
      </c>
      <c r="C45" s="75">
        <f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mergeCells count="65">
    <mergeCell ref="D9:E9"/>
    <mergeCell ref="F9:G9"/>
    <mergeCell ref="B12:E12"/>
    <mergeCell ref="F12:I12"/>
    <mergeCell ref="J12:N12"/>
    <mergeCell ref="G13:I13"/>
    <mergeCell ref="L13:N13"/>
    <mergeCell ref="C13:D13"/>
    <mergeCell ref="C14:D14"/>
    <mergeCell ref="G14:I14"/>
    <mergeCell ref="L14:N14"/>
    <mergeCell ref="C15:D15"/>
    <mergeCell ref="L15:N15"/>
    <mergeCell ref="L16:N16"/>
    <mergeCell ref="L17:N17"/>
    <mergeCell ref="L18:N18"/>
    <mergeCell ref="L19:N19"/>
    <mergeCell ref="L20:N20"/>
    <mergeCell ref="L21:N21"/>
    <mergeCell ref="B22:C22"/>
    <mergeCell ref="D22:E22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B2:M2"/>
    <mergeCell ref="B3:M3"/>
    <mergeCell ref="B5:C5"/>
    <mergeCell ref="D5:E5"/>
    <mergeCell ref="F5:G5"/>
    <mergeCell ref="H5:I5"/>
    <mergeCell ref="J5:K5"/>
    <mergeCell ref="F7:G7"/>
    <mergeCell ref="H7:I7"/>
    <mergeCell ref="B6:C6"/>
    <mergeCell ref="D6:E6"/>
    <mergeCell ref="F6:G6"/>
    <mergeCell ref="H6:I6"/>
    <mergeCell ref="J6:K6"/>
    <mergeCell ref="D7:E7"/>
    <mergeCell ref="J7:K7"/>
    <mergeCell ref="H9:I9"/>
    <mergeCell ref="J9:K9"/>
    <mergeCell ref="B7:C7"/>
    <mergeCell ref="B8:C8"/>
    <mergeCell ref="D8:E8"/>
    <mergeCell ref="F8:G8"/>
    <mergeCell ref="H8:I8"/>
    <mergeCell ref="J8:K8"/>
    <mergeCell ref="B9:C9"/>
    <mergeCell ref="G15:I15"/>
    <mergeCell ref="G16:I16"/>
    <mergeCell ref="F18:I18"/>
    <mergeCell ref="G19:I19"/>
    <mergeCell ref="G20:I20"/>
    <mergeCell ref="C16:D16"/>
    <mergeCell ref="C17:D17"/>
    <mergeCell ref="C18:D18"/>
    <mergeCell ref="C19:D19"/>
    <mergeCell ref="C20:D20"/>
  </mergeCells>
  <conditionalFormatting sqref="D25">
    <cfRule type="cellIs" dxfId="4" priority="1" operator="lessThan">
      <formula>0</formula>
    </cfRule>
  </conditionalFormatting>
  <conditionalFormatting sqref="D25">
    <cfRule type="cellIs" dxfId="5" priority="2" operator="greaterThanOrEqual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Col="1"/>
  <cols>
    <col customWidth="1" min="1" max="1" width="24.0"/>
    <col customWidth="1" min="2" max="2" width="18.0"/>
    <col customWidth="1" min="3" max="4" width="13.0"/>
    <col customWidth="1" min="5" max="5" width="9.0"/>
    <col customWidth="1" min="6" max="6" width="13.0"/>
    <col customWidth="1" min="7" max="7" width="15.0"/>
    <col customWidth="1" min="8" max="9" width="13.0"/>
    <col customWidth="1" min="10" max="17" width="13.0" outlineLevel="1"/>
    <col customWidth="1" min="18" max="18" width="30.0"/>
    <col customWidth="1" min="19" max="19" width="10.0"/>
    <col customWidth="1" min="20" max="20" width="11.0"/>
    <col customWidth="1" min="21" max="21" width="13.0"/>
    <col customWidth="1" min="22" max="26" width="8.71"/>
  </cols>
  <sheetData>
    <row r="1" ht="19.5" customHeight="1">
      <c r="A1" s="4" t="s">
        <v>0</v>
      </c>
      <c r="Q1" s="3"/>
      <c r="R1" s="3"/>
      <c r="S1" s="3"/>
      <c r="T1" s="3"/>
      <c r="U1" s="3"/>
    </row>
    <row r="2" ht="15.0" customHeight="1">
      <c r="A2" s="6" t="s">
        <v>3</v>
      </c>
      <c r="Q2" s="3"/>
      <c r="R2" s="3"/>
      <c r="S2" s="3"/>
      <c r="T2" s="3"/>
      <c r="U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ht="31.5" customHeight="1">
      <c r="A4" s="10" t="s">
        <v>5</v>
      </c>
      <c r="B4" s="10" t="s">
        <v>16</v>
      </c>
      <c r="C4" s="10" t="s">
        <v>18</v>
      </c>
      <c r="D4" s="10" t="s">
        <v>20</v>
      </c>
      <c r="E4" s="10" t="s">
        <v>23</v>
      </c>
      <c r="F4" s="10" t="s">
        <v>10</v>
      </c>
      <c r="G4" s="10" t="s">
        <v>9</v>
      </c>
      <c r="H4" s="10" t="s">
        <v>25</v>
      </c>
      <c r="I4" s="10" t="s">
        <v>26</v>
      </c>
      <c r="J4" s="16" t="s">
        <v>27</v>
      </c>
      <c r="K4" s="16" t="s">
        <v>28</v>
      </c>
      <c r="L4" s="16" t="s">
        <v>29</v>
      </c>
      <c r="M4" s="16" t="s">
        <v>30</v>
      </c>
      <c r="N4" s="16" t="s">
        <v>31</v>
      </c>
      <c r="O4" s="21" t="s">
        <v>32</v>
      </c>
      <c r="P4" s="21" t="s">
        <v>33</v>
      </c>
      <c r="Q4" s="21" t="s">
        <v>34</v>
      </c>
      <c r="R4" s="10" t="s">
        <v>15</v>
      </c>
      <c r="S4" s="10" t="s">
        <v>8</v>
      </c>
      <c r="T4" s="10" t="s">
        <v>35</v>
      </c>
      <c r="U4" s="10" t="s">
        <v>36</v>
      </c>
    </row>
    <row r="5" ht="15.0" customHeight="1">
      <c r="A5" s="25">
        <v>102558.0</v>
      </c>
      <c r="B5" s="27" t="s">
        <v>38</v>
      </c>
      <c r="C5" s="28">
        <v>46228.0</v>
      </c>
      <c r="D5" s="30">
        <f t="shared" ref="D5:D20" si="1">IF(C5="","",TODAY()-C5)</f>
        <v>8</v>
      </c>
      <c r="E5" s="25" t="s">
        <v>43</v>
      </c>
      <c r="F5" s="27" t="s">
        <v>43</v>
      </c>
      <c r="G5" s="25" t="s">
        <v>45</v>
      </c>
      <c r="H5" s="29" t="s">
        <v>48</v>
      </c>
      <c r="I5" s="29" t="s">
        <v>50</v>
      </c>
      <c r="J5" s="29" t="s">
        <v>52</v>
      </c>
      <c r="K5" s="29"/>
      <c r="L5" s="29"/>
      <c r="M5" s="29"/>
      <c r="N5" s="29"/>
      <c r="O5" s="29"/>
      <c r="P5" s="29"/>
      <c r="Q5" s="19"/>
      <c r="R5" s="35"/>
      <c r="S5" s="37" t="s">
        <v>60</v>
      </c>
      <c r="T5" s="29"/>
      <c r="U5" s="40"/>
    </row>
    <row r="6" ht="15.0" customHeight="1">
      <c r="A6" s="25">
        <v>258025.0</v>
      </c>
      <c r="B6" s="27" t="s">
        <v>63</v>
      </c>
      <c r="C6" s="28">
        <v>46235.0</v>
      </c>
      <c r="D6" s="30">
        <f t="shared" si="1"/>
        <v>1</v>
      </c>
      <c r="E6" s="25" t="s">
        <v>65</v>
      </c>
      <c r="F6" s="27" t="s">
        <v>66</v>
      </c>
      <c r="G6" s="25" t="s">
        <v>67</v>
      </c>
      <c r="H6" s="42" t="s">
        <v>48</v>
      </c>
      <c r="I6" s="42" t="s">
        <v>50</v>
      </c>
      <c r="J6" s="42" t="s">
        <v>50</v>
      </c>
      <c r="K6" s="43"/>
      <c r="L6" s="43"/>
      <c r="M6" s="43"/>
      <c r="N6" s="43"/>
      <c r="O6" s="43"/>
      <c r="P6" s="43"/>
      <c r="Q6" s="43"/>
      <c r="R6" s="44"/>
      <c r="S6" s="45" t="s">
        <v>71</v>
      </c>
      <c r="T6" s="29"/>
      <c r="U6" s="40"/>
    </row>
    <row r="7" ht="15.0" customHeight="1">
      <c r="A7" s="25"/>
      <c r="B7" s="27"/>
      <c r="C7" s="28"/>
      <c r="D7" s="30" t="str">
        <f t="shared" si="1"/>
        <v/>
      </c>
      <c r="E7" s="25"/>
      <c r="F7" s="27"/>
      <c r="G7" s="25"/>
      <c r="H7" s="29"/>
      <c r="I7" s="29"/>
      <c r="J7" s="19"/>
      <c r="K7" s="19"/>
      <c r="L7" s="19"/>
      <c r="M7" s="19"/>
      <c r="N7" s="19"/>
      <c r="O7" s="19"/>
      <c r="P7" s="19"/>
      <c r="Q7" s="19"/>
      <c r="R7" s="46"/>
      <c r="S7" s="37" t="s">
        <v>76</v>
      </c>
      <c r="T7" s="29"/>
      <c r="U7" s="40"/>
    </row>
    <row r="8" ht="15.0" customHeight="1">
      <c r="A8" s="30"/>
      <c r="B8" s="48"/>
      <c r="C8" s="49"/>
      <c r="D8" s="30" t="str">
        <f t="shared" si="1"/>
        <v/>
      </c>
      <c r="E8" s="30"/>
      <c r="F8" s="48"/>
      <c r="G8" s="30"/>
      <c r="H8" s="43"/>
      <c r="I8" s="43"/>
      <c r="J8" s="43"/>
      <c r="K8" s="43"/>
      <c r="L8" s="43"/>
      <c r="M8" s="43"/>
      <c r="N8" s="43"/>
      <c r="O8" s="43"/>
      <c r="P8" s="43"/>
      <c r="Q8" s="43"/>
      <c r="R8" s="44"/>
      <c r="S8" s="37" t="s">
        <v>85</v>
      </c>
      <c r="T8" s="29"/>
      <c r="U8" s="40"/>
    </row>
    <row r="9" ht="15.0" customHeight="1">
      <c r="A9" s="30"/>
      <c r="B9" s="48"/>
      <c r="C9" s="49"/>
      <c r="D9" s="30" t="str">
        <f t="shared" si="1"/>
        <v/>
      </c>
      <c r="E9" s="30"/>
      <c r="F9" s="48"/>
      <c r="G9" s="30"/>
      <c r="H9" s="19"/>
      <c r="I9" s="19"/>
      <c r="J9" s="19"/>
      <c r="K9" s="19"/>
      <c r="L9" s="19"/>
      <c r="M9" s="19"/>
      <c r="N9" s="19"/>
      <c r="O9" s="19"/>
      <c r="P9" s="19"/>
      <c r="Q9" s="19"/>
      <c r="R9" s="46"/>
      <c r="S9" s="37" t="s">
        <v>93</v>
      </c>
      <c r="T9" s="29"/>
      <c r="U9" s="40"/>
    </row>
    <row r="10" ht="15.0" customHeight="1">
      <c r="A10" s="30"/>
      <c r="B10" s="48"/>
      <c r="C10" s="49"/>
      <c r="D10" s="30" t="str">
        <f t="shared" si="1"/>
        <v/>
      </c>
      <c r="E10" s="30"/>
      <c r="F10" s="48"/>
      <c r="G10" s="30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4"/>
      <c r="S10" s="37" t="s">
        <v>94</v>
      </c>
      <c r="T10" s="29"/>
      <c r="U10" s="40"/>
    </row>
    <row r="11" ht="15.0" customHeight="1">
      <c r="A11" s="30"/>
      <c r="B11" s="48"/>
      <c r="C11" s="49"/>
      <c r="D11" s="30" t="str">
        <f t="shared" si="1"/>
        <v/>
      </c>
      <c r="E11" s="30"/>
      <c r="F11" s="48"/>
      <c r="G11" s="30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46"/>
      <c r="S11" s="37" t="s">
        <v>98</v>
      </c>
      <c r="T11" s="29"/>
      <c r="U11" s="40"/>
    </row>
    <row r="12" ht="15.0" customHeight="1">
      <c r="A12" s="30"/>
      <c r="B12" s="48"/>
      <c r="C12" s="49"/>
      <c r="D12" s="30" t="str">
        <f t="shared" si="1"/>
        <v/>
      </c>
      <c r="E12" s="30"/>
      <c r="F12" s="48"/>
      <c r="G12" s="30"/>
      <c r="H12" s="43"/>
      <c r="I12" s="43"/>
      <c r="J12" s="42"/>
      <c r="K12" s="43"/>
      <c r="L12" s="43"/>
      <c r="M12" s="43"/>
      <c r="N12" s="43"/>
      <c r="O12" s="43"/>
      <c r="P12" s="43"/>
      <c r="Q12" s="43"/>
      <c r="R12" s="44"/>
      <c r="S12" s="37" t="s">
        <v>99</v>
      </c>
      <c r="T12" s="29"/>
      <c r="U12" s="40"/>
    </row>
    <row r="13" ht="15.0" customHeight="1">
      <c r="A13" s="61">
        <v>102558.0</v>
      </c>
      <c r="B13" s="62" t="s">
        <v>100</v>
      </c>
      <c r="C13" s="63">
        <v>46223.0</v>
      </c>
      <c r="D13" s="64">
        <f t="shared" si="1"/>
        <v>13</v>
      </c>
      <c r="E13" s="61" t="s">
        <v>65</v>
      </c>
      <c r="F13" s="62" t="s">
        <v>43</v>
      </c>
      <c r="G13" s="61" t="s">
        <v>72</v>
      </c>
      <c r="H13" s="29" t="s">
        <v>48</v>
      </c>
      <c r="I13" s="29" t="s">
        <v>50</v>
      </c>
      <c r="J13" s="29" t="s">
        <v>50</v>
      </c>
      <c r="K13" s="19"/>
      <c r="L13" s="19"/>
      <c r="M13" s="19"/>
      <c r="N13" s="19"/>
      <c r="O13" s="19"/>
      <c r="P13" s="19"/>
      <c r="Q13" s="19"/>
      <c r="R13" s="46"/>
      <c r="S13" s="66" t="s">
        <v>101</v>
      </c>
      <c r="T13" s="29"/>
      <c r="U13" s="40"/>
    </row>
    <row r="14" ht="15.0" customHeight="1">
      <c r="A14" s="64"/>
      <c r="B14" s="67"/>
      <c r="C14" s="68"/>
      <c r="D14" s="64" t="str">
        <f t="shared" si="1"/>
        <v/>
      </c>
      <c r="E14" s="64"/>
      <c r="F14" s="67"/>
      <c r="G14" s="64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4"/>
      <c r="S14" s="66" t="s">
        <v>102</v>
      </c>
      <c r="T14" s="29"/>
      <c r="U14" s="40"/>
    </row>
    <row r="15" ht="15.0" customHeight="1">
      <c r="A15" s="64"/>
      <c r="B15" s="67"/>
      <c r="C15" s="68"/>
      <c r="D15" s="64" t="str">
        <f t="shared" si="1"/>
        <v/>
      </c>
      <c r="E15" s="64"/>
      <c r="F15" s="67"/>
      <c r="G15" s="64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46"/>
      <c r="S15" s="66" t="s">
        <v>103</v>
      </c>
      <c r="T15" s="29"/>
      <c r="U15" s="40"/>
    </row>
    <row r="16" ht="15.0" customHeight="1">
      <c r="A16" s="64"/>
      <c r="B16" s="67"/>
      <c r="C16" s="68"/>
      <c r="D16" s="64" t="str">
        <f t="shared" si="1"/>
        <v/>
      </c>
      <c r="E16" s="64"/>
      <c r="F16" s="67"/>
      <c r="G16" s="64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4"/>
      <c r="S16" s="66" t="s">
        <v>104</v>
      </c>
      <c r="T16" s="29"/>
      <c r="U16" s="40"/>
    </row>
    <row r="17" ht="15.0" customHeight="1">
      <c r="A17" s="64"/>
      <c r="B17" s="67"/>
      <c r="C17" s="68"/>
      <c r="D17" s="64" t="str">
        <f t="shared" si="1"/>
        <v/>
      </c>
      <c r="E17" s="64"/>
      <c r="F17" s="67"/>
      <c r="G17" s="64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46"/>
      <c r="S17" s="66" t="s">
        <v>105</v>
      </c>
      <c r="T17" s="29"/>
      <c r="U17" s="40"/>
    </row>
    <row r="18" ht="15.0" customHeight="1">
      <c r="A18" s="64"/>
      <c r="B18" s="67"/>
      <c r="C18" s="68"/>
      <c r="D18" s="64" t="str">
        <f t="shared" si="1"/>
        <v/>
      </c>
      <c r="E18" s="64"/>
      <c r="F18" s="67"/>
      <c r="G18" s="64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4"/>
      <c r="S18" s="66" t="s">
        <v>106</v>
      </c>
      <c r="T18" s="29"/>
      <c r="U18" s="40"/>
    </row>
    <row r="19" ht="15.0" customHeight="1">
      <c r="A19" s="64"/>
      <c r="B19" s="67"/>
      <c r="C19" s="68"/>
      <c r="D19" s="64" t="str">
        <f t="shared" si="1"/>
        <v/>
      </c>
      <c r="E19" s="64"/>
      <c r="F19" s="67"/>
      <c r="G19" s="64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46"/>
      <c r="S19" s="66" t="s">
        <v>107</v>
      </c>
      <c r="T19" s="29"/>
      <c r="U19" s="40"/>
    </row>
    <row r="20" ht="15.0" customHeight="1">
      <c r="A20" s="64"/>
      <c r="B20" s="67"/>
      <c r="C20" s="68"/>
      <c r="D20" s="64" t="str">
        <f t="shared" si="1"/>
        <v/>
      </c>
      <c r="E20" s="64"/>
      <c r="F20" s="67"/>
      <c r="G20" s="64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4"/>
      <c r="S20" s="66" t="s">
        <v>110</v>
      </c>
      <c r="T20" s="29"/>
      <c r="U20" s="40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ht="15.0" customHeight="1">
      <c r="A23" s="71" t="s">
        <v>112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ht="15.0" customHeight="1">
      <c r="A24" s="73" t="s">
        <v>113</v>
      </c>
      <c r="B24" s="73" t="s">
        <v>115</v>
      </c>
      <c r="C24" s="73" t="s">
        <v>117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ht="15.0" customHeight="1">
      <c r="A25" s="76" t="s">
        <v>26</v>
      </c>
      <c r="B25" s="77">
        <f>COUNTIF(I5:I20,"✓")</f>
        <v>3</v>
      </c>
      <c r="C25" s="77">
        <f>COUNTIF(I5:I20,"✗")</f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ht="15.0" customHeight="1">
      <c r="A26" s="76" t="s">
        <v>27</v>
      </c>
      <c r="B26" s="77">
        <f>COUNTIF(J5:J20,"✓")</f>
        <v>2</v>
      </c>
      <c r="C26" s="77">
        <f>COUNTIF(J5:J20,"✗")</f>
        <v>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ht="15.0" customHeight="1">
      <c r="A27" s="76" t="s">
        <v>28</v>
      </c>
      <c r="B27" s="77">
        <f>COUNTIF(K5:K20,"✓")</f>
        <v>0</v>
      </c>
      <c r="C27" s="77">
        <f>COUNTIF(K5:K20,"✗")</f>
        <v>0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 ht="15.0" customHeight="1">
      <c r="A28" s="76" t="s">
        <v>29</v>
      </c>
      <c r="B28" s="77">
        <f>COUNTIF(L5:L20,"✓")</f>
        <v>0</v>
      </c>
      <c r="C28" s="77">
        <f>COUNTIF(L5:L20,"✗")</f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ht="15.0" customHeight="1">
      <c r="A29" s="76" t="s">
        <v>30</v>
      </c>
      <c r="B29" s="77">
        <f>COUNTIF(M5:M20,"✓")</f>
        <v>0</v>
      </c>
      <c r="C29" s="77">
        <f>COUNTIF(M5:M20,"✗")</f>
        <v>0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 ht="15.0" customHeight="1">
      <c r="A30" s="76" t="s">
        <v>31</v>
      </c>
      <c r="B30" s="77">
        <f>COUNTIF(N5:N20,"✓")</f>
        <v>0</v>
      </c>
      <c r="C30" s="77">
        <f>COUNTIF(N5:N20,"✗")</f>
        <v>0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ht="15.0" customHeight="1">
      <c r="A32" s="71" t="s">
        <v>147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ht="15.0" customHeight="1">
      <c r="A33" s="82" t="s">
        <v>119</v>
      </c>
      <c r="B33" s="77">
        <f>COUNTIF(P5:P20,"Cenikor")</f>
        <v>0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ht="15.0" customHeight="1">
      <c r="A34" s="82" t="s">
        <v>148</v>
      </c>
      <c r="B34" s="77">
        <f>COUNTIF(P5:P20,"Lifetime Recovery")</f>
        <v>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ht="15.0" customHeight="1">
      <c r="A35" s="82" t="s">
        <v>149</v>
      </c>
      <c r="B35" s="77">
        <f>COUNTIF(P5:P20,"Liberty Lodge")</f>
        <v>0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ht="15.0" customHeight="1">
      <c r="A37" s="71" t="s">
        <v>151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ht="15.0" customHeight="1">
      <c r="A38" s="82" t="s">
        <v>152</v>
      </c>
      <c r="B38" s="77">
        <f>COUNTIF(Q5:Q20,"Oxford House")</f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ht="15.0" customHeight="1">
      <c r="A39" s="82" t="s">
        <v>153</v>
      </c>
      <c r="B39" s="77">
        <f>COUNTIF(Q5:Q20,"Wenholtz House")</f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ht="15.0" customHeight="1">
      <c r="A40" s="82" t="s">
        <v>154</v>
      </c>
      <c r="B40" s="77">
        <f>COUNTIF(Q5:Q20,"Rustic House")</f>
        <v>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ht="15.0" customHeight="1">
      <c r="A41" s="82" t="s">
        <v>155</v>
      </c>
      <c r="B41" s="77">
        <f>COUNTIF(Q5:Q20,"Broken Chains")</f>
        <v>0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 ht="15.0" customHeight="1">
      <c r="A43" s="71" t="s">
        <v>156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ht="15.0" customHeight="1">
      <c r="A44" s="82" t="s">
        <v>157</v>
      </c>
      <c r="B44" s="77">
        <f>COUNTIF(O5:O20,"Good Sam")</f>
        <v>0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ht="15.0" customHeight="1">
      <c r="A45" s="82" t="s">
        <v>158</v>
      </c>
      <c r="B45" s="77">
        <f>COUNTIF(O5:O20,"Salvation Army")</f>
        <v>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 ht="15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3"/>
      <c r="N48" s="3"/>
      <c r="O48" s="3"/>
      <c r="P48" s="3"/>
      <c r="Q48" s="3"/>
      <c r="R48" s="3"/>
      <c r="S48" s="3"/>
      <c r="T48" s="3"/>
      <c r="U48" s="3"/>
    </row>
    <row r="49" ht="15.75" customHeight="1">
      <c r="A49" s="7" t="s">
        <v>4</v>
      </c>
      <c r="M49" s="3"/>
      <c r="N49" s="3"/>
      <c r="O49" s="3"/>
      <c r="P49" s="3"/>
      <c r="Q49" s="3"/>
      <c r="R49" s="3"/>
      <c r="S49" s="3"/>
      <c r="T49" s="3"/>
      <c r="U49" s="3"/>
    </row>
    <row r="50" ht="15.75" customHeight="1">
      <c r="A50" s="9" t="s">
        <v>6</v>
      </c>
      <c r="M50" s="3"/>
      <c r="N50" s="3"/>
      <c r="O50" s="3"/>
      <c r="P50" s="3"/>
      <c r="Q50" s="3"/>
      <c r="R50" s="3"/>
      <c r="S50" s="3"/>
      <c r="T50" s="3"/>
      <c r="U50" s="3"/>
    </row>
    <row r="51" ht="15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3"/>
      <c r="N51" s="3"/>
      <c r="O51" s="3"/>
      <c r="P51" s="3"/>
      <c r="Q51" s="3"/>
      <c r="R51" s="3"/>
      <c r="S51" s="3"/>
      <c r="T51" s="3"/>
      <c r="U51" s="3"/>
    </row>
    <row r="52" ht="15.75" customHeight="1">
      <c r="A52" s="13">
        <v>30.0</v>
      </c>
      <c r="B52" s="14"/>
      <c r="C52" s="15" t="s">
        <v>21</v>
      </c>
      <c r="D52" s="14"/>
      <c r="E52" s="17">
        <v>0.7</v>
      </c>
      <c r="F52" s="14"/>
      <c r="G52" s="18">
        <v>0.73</v>
      </c>
      <c r="H52" s="14"/>
      <c r="I52" s="18">
        <v>0.63</v>
      </c>
      <c r="J52" s="14"/>
      <c r="K52" s="84"/>
      <c r="L52" s="84"/>
      <c r="M52" s="3"/>
      <c r="N52" s="3"/>
      <c r="O52" s="3"/>
      <c r="P52" s="3"/>
      <c r="Q52" s="3"/>
      <c r="R52" s="3"/>
      <c r="S52" s="3"/>
      <c r="T52" s="3"/>
      <c r="U52" s="3"/>
    </row>
    <row r="53" ht="15.75" customHeight="1">
      <c r="A53" s="20"/>
      <c r="B53" s="22"/>
      <c r="C53" s="20"/>
      <c r="D53" s="22"/>
      <c r="E53" s="20"/>
      <c r="F53" s="22"/>
      <c r="G53" s="20"/>
      <c r="H53" s="22"/>
      <c r="I53" s="20"/>
      <c r="J53" s="22"/>
      <c r="K53" s="84"/>
      <c r="L53" s="84"/>
      <c r="M53" s="3"/>
      <c r="N53" s="3"/>
      <c r="O53" s="3"/>
      <c r="P53" s="3"/>
      <c r="Q53" s="3"/>
      <c r="R53" s="3"/>
      <c r="S53" s="3"/>
      <c r="T53" s="3"/>
      <c r="U53" s="3"/>
    </row>
    <row r="54" ht="15.75" customHeight="1">
      <c r="A54" s="23"/>
      <c r="B54" s="24"/>
      <c r="C54" s="23"/>
      <c r="D54" s="24"/>
      <c r="E54" s="23"/>
      <c r="F54" s="24"/>
      <c r="G54" s="23"/>
      <c r="H54" s="24"/>
      <c r="I54" s="23"/>
      <c r="J54" s="24"/>
      <c r="K54" s="84"/>
      <c r="L54" s="84"/>
      <c r="M54" s="3"/>
      <c r="N54" s="3"/>
      <c r="O54" s="3"/>
      <c r="P54" s="3"/>
      <c r="Q54" s="3"/>
      <c r="R54" s="3"/>
      <c r="S54" s="3"/>
      <c r="T54" s="3"/>
      <c r="U54" s="3"/>
    </row>
    <row r="55" ht="15.75" customHeight="1">
      <c r="A55" s="26" t="s">
        <v>37</v>
      </c>
      <c r="C55" s="26" t="s">
        <v>39</v>
      </c>
      <c r="E55" s="26" t="s">
        <v>40</v>
      </c>
      <c r="G55" s="26" t="s">
        <v>41</v>
      </c>
      <c r="I55" s="26" t="s">
        <v>42</v>
      </c>
      <c r="K55" s="84"/>
      <c r="L55" s="84"/>
      <c r="M55" s="3"/>
      <c r="N55" s="3"/>
      <c r="O55" s="3"/>
      <c r="P55" s="3"/>
      <c r="Q55" s="3"/>
      <c r="R55" s="3"/>
      <c r="S55" s="3"/>
      <c r="T55" s="3"/>
      <c r="U55" s="3"/>
    </row>
    <row r="56" ht="15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3"/>
      <c r="N56" s="3"/>
      <c r="O56" s="3"/>
      <c r="P56" s="3"/>
      <c r="Q56" s="3"/>
      <c r="R56" s="3"/>
      <c r="S56" s="3"/>
      <c r="T56" s="3"/>
      <c r="U56" s="3"/>
    </row>
    <row r="57" ht="15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3"/>
      <c r="N57" s="3"/>
      <c r="O57" s="3"/>
      <c r="P57" s="3"/>
      <c r="Q57" s="3"/>
      <c r="R57" s="3"/>
      <c r="S57" s="3"/>
      <c r="T57" s="3"/>
      <c r="U57" s="3"/>
    </row>
    <row r="58" ht="15.75" customHeight="1">
      <c r="A58" s="32" t="s">
        <v>46</v>
      </c>
      <c r="F58" s="84"/>
      <c r="G58" s="32" t="s">
        <v>49</v>
      </c>
      <c r="M58" s="3"/>
      <c r="N58" s="3"/>
      <c r="O58" s="3"/>
      <c r="P58" s="3"/>
      <c r="Q58" s="3"/>
      <c r="R58" s="3"/>
      <c r="S58" s="3"/>
      <c r="T58" s="3"/>
      <c r="U58" s="3"/>
    </row>
    <row r="59" ht="15.75" customHeight="1">
      <c r="A59" s="36" t="s">
        <v>23</v>
      </c>
      <c r="B59" s="36" t="s">
        <v>55</v>
      </c>
      <c r="C59" s="36" t="s">
        <v>56</v>
      </c>
      <c r="D59" s="84"/>
      <c r="E59" s="84"/>
      <c r="F59" s="84"/>
      <c r="G59" s="36" t="s">
        <v>57</v>
      </c>
      <c r="H59" s="36" t="s">
        <v>58</v>
      </c>
      <c r="I59" s="36" t="s">
        <v>59</v>
      </c>
      <c r="J59" s="84"/>
      <c r="K59" s="84"/>
      <c r="L59" s="84"/>
      <c r="M59" s="3"/>
      <c r="N59" s="3"/>
      <c r="O59" s="3"/>
      <c r="P59" s="3"/>
      <c r="Q59" s="3"/>
      <c r="R59" s="3"/>
      <c r="S59" s="3"/>
      <c r="T59" s="3"/>
      <c r="U59" s="3"/>
    </row>
    <row r="60" ht="15.75" customHeight="1">
      <c r="A60" s="38" t="s">
        <v>61</v>
      </c>
      <c r="B60" s="39">
        <v>9.0</v>
      </c>
      <c r="C60" s="39">
        <v>16.3</v>
      </c>
      <c r="D60" s="84"/>
      <c r="E60" s="84"/>
      <c r="F60" s="84"/>
      <c r="G60" s="38" t="s">
        <v>62</v>
      </c>
      <c r="H60" s="39">
        <v>5.0</v>
      </c>
      <c r="I60" s="41">
        <v>0.17</v>
      </c>
      <c r="J60" s="84"/>
      <c r="K60" s="84"/>
      <c r="L60" s="84"/>
      <c r="M60" s="3"/>
      <c r="N60" s="3"/>
      <c r="O60" s="3"/>
      <c r="P60" s="3"/>
      <c r="Q60" s="3"/>
      <c r="R60" s="3"/>
      <c r="S60" s="3"/>
      <c r="T60" s="3"/>
      <c r="U60" s="3"/>
    </row>
    <row r="61" ht="15.75" customHeight="1">
      <c r="A61" s="38" t="s">
        <v>64</v>
      </c>
      <c r="B61" s="39">
        <v>7.0</v>
      </c>
      <c r="C61" s="39">
        <v>10.0</v>
      </c>
      <c r="D61" s="84"/>
      <c r="E61" s="84"/>
      <c r="F61" s="84"/>
      <c r="G61" s="38" t="s">
        <v>68</v>
      </c>
      <c r="H61" s="39">
        <v>5.0</v>
      </c>
      <c r="I61" s="41">
        <v>0.17</v>
      </c>
      <c r="J61" s="84"/>
      <c r="K61" s="84"/>
      <c r="L61" s="84"/>
      <c r="M61" s="3"/>
      <c r="N61" s="3"/>
      <c r="O61" s="3"/>
      <c r="P61" s="3"/>
      <c r="Q61" s="3"/>
      <c r="R61" s="3"/>
      <c r="S61" s="3"/>
      <c r="T61" s="3"/>
      <c r="U61" s="3"/>
    </row>
    <row r="62" ht="15.75" customHeight="1">
      <c r="A62" s="38" t="s">
        <v>65</v>
      </c>
      <c r="B62" s="39">
        <v>3.0</v>
      </c>
      <c r="C62" s="39">
        <v>8.7</v>
      </c>
      <c r="D62" s="84"/>
      <c r="E62" s="84"/>
      <c r="F62" s="84"/>
      <c r="G62" s="38" t="s">
        <v>69</v>
      </c>
      <c r="H62" s="39">
        <v>7.0</v>
      </c>
      <c r="I62" s="41">
        <v>0.23</v>
      </c>
      <c r="J62" s="84"/>
      <c r="K62" s="84"/>
      <c r="L62" s="84"/>
      <c r="M62" s="3"/>
      <c r="N62" s="3"/>
      <c r="O62" s="3"/>
      <c r="P62" s="3"/>
      <c r="Q62" s="3"/>
      <c r="R62" s="3"/>
      <c r="S62" s="3"/>
      <c r="T62" s="3"/>
      <c r="U62" s="3"/>
    </row>
    <row r="63" ht="15.75" customHeight="1">
      <c r="A63" s="38" t="s">
        <v>70</v>
      </c>
      <c r="B63" s="39">
        <v>0.0</v>
      </c>
      <c r="C63" s="39">
        <v>0.0</v>
      </c>
      <c r="D63" s="84"/>
      <c r="E63" s="84"/>
      <c r="F63" s="84"/>
      <c r="G63" s="38" t="s">
        <v>72</v>
      </c>
      <c r="H63" s="39">
        <v>2.0</v>
      </c>
      <c r="I63" s="41">
        <v>0.07</v>
      </c>
      <c r="J63" s="84"/>
      <c r="K63" s="84"/>
      <c r="L63" s="84"/>
      <c r="M63" s="3"/>
      <c r="N63" s="3"/>
      <c r="O63" s="3"/>
      <c r="P63" s="3"/>
      <c r="Q63" s="3"/>
      <c r="R63" s="3"/>
      <c r="S63" s="3"/>
      <c r="T63" s="3"/>
      <c r="U63" s="3"/>
    </row>
    <row r="64" ht="15.75" customHeight="1">
      <c r="A64" s="38" t="s">
        <v>73</v>
      </c>
      <c r="B64" s="39">
        <v>11.0</v>
      </c>
      <c r="C64" s="39">
        <v>9.9</v>
      </c>
      <c r="D64" s="84"/>
      <c r="E64" s="84"/>
      <c r="F64" s="84"/>
      <c r="G64" s="38" t="s">
        <v>74</v>
      </c>
      <c r="H64" s="39">
        <v>3.0</v>
      </c>
      <c r="I64" s="41">
        <v>0.1</v>
      </c>
      <c r="J64" s="84"/>
      <c r="K64" s="84"/>
      <c r="L64" s="84"/>
      <c r="M64" s="3"/>
      <c r="N64" s="3"/>
      <c r="O64" s="3"/>
      <c r="P64" s="3"/>
      <c r="Q64" s="3"/>
      <c r="R64" s="3"/>
      <c r="S64" s="3"/>
      <c r="T64" s="3"/>
      <c r="U64" s="3"/>
    </row>
    <row r="65" ht="15.75" customHeight="1">
      <c r="A65" s="84"/>
      <c r="B65" s="84"/>
      <c r="C65" s="84"/>
      <c r="D65" s="84"/>
      <c r="E65" s="84"/>
      <c r="F65" s="84"/>
      <c r="G65" s="38" t="s">
        <v>67</v>
      </c>
      <c r="H65" s="39">
        <v>2.0</v>
      </c>
      <c r="I65" s="41">
        <v>0.07</v>
      </c>
      <c r="J65" s="84"/>
      <c r="K65" s="84"/>
      <c r="L65" s="84"/>
      <c r="M65" s="3"/>
      <c r="N65" s="3"/>
      <c r="O65" s="3"/>
      <c r="P65" s="3"/>
      <c r="Q65" s="3"/>
      <c r="R65" s="3"/>
      <c r="S65" s="3"/>
      <c r="T65" s="3"/>
      <c r="U65" s="3"/>
    </row>
    <row r="66" ht="15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3"/>
      <c r="N66" s="3"/>
      <c r="O66" s="3"/>
      <c r="P66" s="3"/>
      <c r="Q66" s="3"/>
      <c r="R66" s="3"/>
      <c r="S66" s="3"/>
      <c r="T66" s="3"/>
      <c r="U66" s="3"/>
    </row>
    <row r="67" ht="15.75" customHeight="1">
      <c r="A67" s="32" t="s">
        <v>75</v>
      </c>
      <c r="F67" s="84"/>
      <c r="G67" s="84"/>
      <c r="H67" s="84"/>
      <c r="I67" s="84"/>
      <c r="J67" s="84"/>
      <c r="K67" s="84"/>
      <c r="L67" s="84"/>
      <c r="M67" s="3"/>
      <c r="N67" s="3"/>
      <c r="O67" s="3"/>
      <c r="P67" s="3"/>
      <c r="Q67" s="3"/>
      <c r="R67" s="3"/>
      <c r="S67" s="3"/>
      <c r="T67" s="3"/>
      <c r="U67" s="3"/>
    </row>
    <row r="68" ht="15.75" customHeight="1">
      <c r="A68" s="36" t="s">
        <v>77</v>
      </c>
      <c r="B68" s="36" t="s">
        <v>78</v>
      </c>
      <c r="C68" s="36" t="s">
        <v>79</v>
      </c>
      <c r="D68" s="84"/>
      <c r="E68" s="84"/>
      <c r="F68" s="84"/>
      <c r="G68" s="84"/>
      <c r="H68" s="84"/>
      <c r="I68" s="84"/>
      <c r="J68" s="84"/>
      <c r="K68" s="84"/>
      <c r="L68" s="84"/>
      <c r="M68" s="3"/>
      <c r="N68" s="3"/>
      <c r="O68" s="3"/>
      <c r="P68" s="3"/>
      <c r="Q68" s="3"/>
      <c r="R68" s="3"/>
      <c r="S68" s="3"/>
      <c r="T68" s="3"/>
      <c r="U68" s="3"/>
    </row>
    <row r="69" ht="15.75" customHeight="1">
      <c r="A69" s="38" t="s">
        <v>80</v>
      </c>
      <c r="B69" s="39">
        <v>21.0</v>
      </c>
      <c r="C69" s="50">
        <v>0.7</v>
      </c>
      <c r="D69" s="84"/>
      <c r="E69" s="84"/>
      <c r="F69" s="84"/>
      <c r="G69" s="84"/>
      <c r="H69" s="84"/>
      <c r="I69" s="84"/>
      <c r="J69" s="84"/>
      <c r="K69" s="84"/>
      <c r="L69" s="84"/>
      <c r="M69" s="3"/>
      <c r="N69" s="3"/>
      <c r="O69" s="3"/>
      <c r="P69" s="3"/>
      <c r="Q69" s="3"/>
      <c r="R69" s="3"/>
      <c r="S69" s="3"/>
      <c r="T69" s="3"/>
      <c r="U69" s="3"/>
    </row>
    <row r="70" ht="15.75" customHeight="1">
      <c r="A70" s="38" t="s">
        <v>81</v>
      </c>
      <c r="B70" s="39">
        <v>22.0</v>
      </c>
      <c r="C70" s="50">
        <v>0.73</v>
      </c>
      <c r="D70" s="84"/>
      <c r="E70" s="84"/>
      <c r="F70" s="84"/>
      <c r="G70" s="84"/>
      <c r="H70" s="84"/>
      <c r="I70" s="84"/>
      <c r="J70" s="84"/>
      <c r="K70" s="84"/>
      <c r="L70" s="84"/>
      <c r="M70" s="3"/>
      <c r="N70" s="3"/>
      <c r="O70" s="3"/>
      <c r="P70" s="3"/>
      <c r="Q70" s="3"/>
      <c r="R70" s="3"/>
      <c r="S70" s="3"/>
      <c r="T70" s="3"/>
      <c r="U70" s="3"/>
    </row>
    <row r="71" ht="15.75" customHeight="1">
      <c r="A71" s="38" t="s">
        <v>83</v>
      </c>
      <c r="B71" s="39">
        <v>17.0</v>
      </c>
      <c r="C71" s="50">
        <v>0.57</v>
      </c>
      <c r="D71" s="84"/>
      <c r="E71" s="84"/>
      <c r="F71" s="84"/>
      <c r="G71" s="84"/>
      <c r="H71" s="84"/>
      <c r="I71" s="84"/>
      <c r="J71" s="84"/>
      <c r="K71" s="84"/>
      <c r="L71" s="84"/>
      <c r="M71" s="3"/>
      <c r="N71" s="3"/>
      <c r="O71" s="3"/>
      <c r="P71" s="3"/>
      <c r="Q71" s="3"/>
      <c r="R71" s="3"/>
      <c r="S71" s="3"/>
      <c r="T71" s="3"/>
      <c r="U71" s="3"/>
    </row>
    <row r="72" ht="15.75" customHeight="1">
      <c r="A72" s="38" t="s">
        <v>90</v>
      </c>
      <c r="B72" s="39">
        <v>19.0</v>
      </c>
      <c r="C72" s="50">
        <v>0.63</v>
      </c>
      <c r="D72" s="84"/>
      <c r="E72" s="84"/>
      <c r="F72" s="84"/>
      <c r="G72" s="84"/>
      <c r="H72" s="84"/>
      <c r="I72" s="84"/>
      <c r="J72" s="84"/>
      <c r="K72" s="84"/>
      <c r="L72" s="84"/>
      <c r="M72" s="3"/>
      <c r="N72" s="3"/>
      <c r="O72" s="3"/>
      <c r="P72" s="3"/>
      <c r="Q72" s="3"/>
      <c r="R72" s="3"/>
      <c r="S72" s="3"/>
      <c r="T72" s="3"/>
      <c r="U72" s="3"/>
    </row>
    <row r="73" ht="15.75" customHeight="1">
      <c r="A73" s="38" t="s">
        <v>92</v>
      </c>
      <c r="B73" s="39">
        <v>19.0</v>
      </c>
      <c r="C73" s="50">
        <v>0.63</v>
      </c>
      <c r="D73" s="84"/>
      <c r="E73" s="84"/>
      <c r="F73" s="84"/>
      <c r="G73" s="84"/>
      <c r="H73" s="84"/>
      <c r="I73" s="84"/>
      <c r="J73" s="84"/>
      <c r="K73" s="84"/>
      <c r="L73" s="84"/>
      <c r="M73" s="3"/>
      <c r="N73" s="3"/>
      <c r="O73" s="3"/>
      <c r="P73" s="3"/>
      <c r="Q73" s="3"/>
      <c r="R73" s="3"/>
      <c r="S73" s="3"/>
      <c r="T73" s="3"/>
      <c r="U73" s="3"/>
    </row>
    <row r="74" ht="15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3"/>
      <c r="N74" s="3"/>
      <c r="O74" s="3"/>
      <c r="P74" s="3"/>
      <c r="Q74" s="3"/>
      <c r="R74" s="3"/>
      <c r="S74" s="3"/>
      <c r="T74" s="3"/>
      <c r="U74" s="3"/>
    </row>
    <row r="75" ht="15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3"/>
      <c r="N75" s="3"/>
      <c r="O75" s="3"/>
      <c r="P75" s="3"/>
      <c r="Q75" s="3"/>
      <c r="R75" s="3"/>
      <c r="S75" s="3"/>
      <c r="T75" s="3"/>
      <c r="U75" s="3"/>
    </row>
    <row r="76" ht="15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3"/>
      <c r="N76" s="3"/>
      <c r="O76" s="3"/>
      <c r="P76" s="3"/>
      <c r="Q76" s="3"/>
      <c r="R76" s="3"/>
      <c r="S76" s="3"/>
      <c r="T76" s="3"/>
      <c r="U76" s="3"/>
    </row>
    <row r="77" ht="15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3"/>
      <c r="N77" s="3"/>
      <c r="O77" s="3"/>
      <c r="P77" s="3"/>
      <c r="Q77" s="3"/>
      <c r="R77" s="3"/>
      <c r="S77" s="3"/>
      <c r="T77" s="3"/>
      <c r="U77" s="3"/>
    </row>
    <row r="78" ht="15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3"/>
      <c r="N78" s="3"/>
      <c r="O78" s="3"/>
      <c r="P78" s="3"/>
      <c r="Q78" s="3"/>
      <c r="R78" s="3"/>
      <c r="S78" s="3"/>
      <c r="T78" s="3"/>
      <c r="U78" s="3"/>
    </row>
    <row r="79" ht="15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3"/>
      <c r="N79" s="3"/>
      <c r="O79" s="3"/>
      <c r="P79" s="3"/>
      <c r="Q79" s="3"/>
      <c r="R79" s="3"/>
      <c r="S79" s="3"/>
      <c r="T79" s="3"/>
      <c r="U79" s="3"/>
    </row>
    <row r="80" ht="15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3"/>
      <c r="N80" s="3"/>
      <c r="O80" s="3"/>
      <c r="P80" s="3"/>
      <c r="Q80" s="3"/>
      <c r="R80" s="3"/>
      <c r="S80" s="3"/>
      <c r="T80" s="3"/>
      <c r="U80" s="3"/>
    </row>
    <row r="81" ht="15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3"/>
      <c r="N81" s="3"/>
      <c r="O81" s="3"/>
      <c r="P81" s="3"/>
      <c r="Q81" s="3"/>
      <c r="R81" s="3"/>
      <c r="S81" s="3"/>
      <c r="T81" s="3"/>
      <c r="U81" s="3"/>
    </row>
    <row r="82" ht="15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3"/>
      <c r="N82" s="3"/>
      <c r="O82" s="3"/>
      <c r="P82" s="3"/>
      <c r="Q82" s="3"/>
      <c r="R82" s="3"/>
      <c r="S82" s="3"/>
      <c r="T82" s="3"/>
      <c r="U82" s="3"/>
    </row>
    <row r="83" ht="15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3"/>
      <c r="N83" s="3"/>
      <c r="O83" s="3"/>
      <c r="P83" s="3"/>
      <c r="Q83" s="3"/>
      <c r="R83" s="3"/>
      <c r="S83" s="3"/>
      <c r="T83" s="3"/>
      <c r="U83" s="3"/>
    </row>
    <row r="84" ht="15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3"/>
      <c r="N84" s="3"/>
      <c r="O84" s="3"/>
      <c r="P84" s="3"/>
      <c r="Q84" s="3"/>
      <c r="R84" s="3"/>
      <c r="S84" s="3"/>
      <c r="T84" s="3"/>
      <c r="U84" s="3"/>
    </row>
    <row r="85" ht="15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3"/>
      <c r="N85" s="3"/>
      <c r="O85" s="3"/>
      <c r="P85" s="3"/>
      <c r="Q85" s="3"/>
      <c r="R85" s="3"/>
      <c r="S85" s="3"/>
      <c r="T85" s="3"/>
      <c r="U85" s="3"/>
    </row>
    <row r="86" ht="15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3"/>
      <c r="N86" s="3"/>
      <c r="O86" s="3"/>
      <c r="P86" s="3"/>
      <c r="Q86" s="3"/>
      <c r="R86" s="3"/>
      <c r="S86" s="3"/>
      <c r="T86" s="3"/>
      <c r="U86" s="3"/>
    </row>
    <row r="87" ht="15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3"/>
      <c r="N87" s="3"/>
      <c r="O87" s="3"/>
      <c r="P87" s="3"/>
      <c r="Q87" s="3"/>
      <c r="R87" s="3"/>
      <c r="S87" s="3"/>
      <c r="T87" s="3"/>
      <c r="U87" s="3"/>
    </row>
    <row r="88" ht="15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3"/>
      <c r="N88" s="3"/>
      <c r="O88" s="3"/>
      <c r="P88" s="3"/>
      <c r="Q88" s="3"/>
      <c r="R88" s="3"/>
      <c r="S88" s="3"/>
      <c r="T88" s="3"/>
      <c r="U88" s="3"/>
    </row>
    <row r="89" ht="15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3"/>
      <c r="N89" s="3"/>
      <c r="O89" s="3"/>
      <c r="P89" s="3"/>
      <c r="Q89" s="3"/>
      <c r="R89" s="3"/>
      <c r="S89" s="3"/>
      <c r="T89" s="3"/>
      <c r="U89" s="3"/>
    </row>
    <row r="90" ht="15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3"/>
      <c r="N90" s="3"/>
      <c r="O90" s="3"/>
      <c r="P90" s="3"/>
      <c r="Q90" s="3"/>
      <c r="R90" s="3"/>
      <c r="S90" s="3"/>
      <c r="T90" s="3"/>
      <c r="U90" s="3"/>
    </row>
    <row r="91" ht="15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3"/>
      <c r="N91" s="3"/>
      <c r="O91" s="3"/>
      <c r="P91" s="3"/>
      <c r="Q91" s="3"/>
      <c r="R91" s="3"/>
      <c r="S91" s="3"/>
      <c r="T91" s="3"/>
      <c r="U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</row>
  </sheetData>
  <mergeCells count="18">
    <mergeCell ref="E52:F54"/>
    <mergeCell ref="G52:H54"/>
    <mergeCell ref="E55:F55"/>
    <mergeCell ref="G55:H55"/>
    <mergeCell ref="I55:J55"/>
    <mergeCell ref="G58:L58"/>
    <mergeCell ref="A52:B54"/>
    <mergeCell ref="A55:B55"/>
    <mergeCell ref="C55:D55"/>
    <mergeCell ref="A58:E58"/>
    <mergeCell ref="A67:E67"/>
    <mergeCell ref="A1:P1"/>
    <mergeCell ref="A2:P2"/>
    <mergeCell ref="A23:D23"/>
    <mergeCell ref="A49:L49"/>
    <mergeCell ref="A50:L50"/>
    <mergeCell ref="C52:D54"/>
    <mergeCell ref="I52:J54"/>
  </mergeCells>
  <conditionalFormatting sqref="D5:D20">
    <cfRule type="cellIs" dxfId="0" priority="1" operator="greaterThan">
      <formula>5</formula>
    </cfRule>
  </conditionalFormatting>
  <conditionalFormatting sqref="I5:I20">
    <cfRule type="cellIs" dxfId="1" priority="2" operator="equal">
      <formula>"✓"</formula>
    </cfRule>
  </conditionalFormatting>
  <conditionalFormatting sqref="I5:I20">
    <cfRule type="cellIs" dxfId="2" priority="3" operator="equal">
      <formula>"✗"</formula>
    </cfRule>
  </conditionalFormatting>
  <conditionalFormatting sqref="J5:J20">
    <cfRule type="cellIs" dxfId="1" priority="4" operator="equal">
      <formula>"✓"</formula>
    </cfRule>
  </conditionalFormatting>
  <conditionalFormatting sqref="J5:J20">
    <cfRule type="cellIs" dxfId="2" priority="5" operator="equal">
      <formula>"✗"</formula>
    </cfRule>
  </conditionalFormatting>
  <conditionalFormatting sqref="K5:K20">
    <cfRule type="cellIs" dxfId="1" priority="6" operator="equal">
      <formula>"✓"</formula>
    </cfRule>
  </conditionalFormatting>
  <conditionalFormatting sqref="K5:K20">
    <cfRule type="cellIs" dxfId="2" priority="7" operator="equal">
      <formula>"✗"</formula>
    </cfRule>
  </conditionalFormatting>
  <conditionalFormatting sqref="K5:K20">
    <cfRule type="expression" dxfId="3" priority="8">
      <formula>$J5="✓"</formula>
    </cfRule>
  </conditionalFormatting>
  <conditionalFormatting sqref="L5:L20">
    <cfRule type="cellIs" dxfId="1" priority="9" operator="equal">
      <formula>"✓"</formula>
    </cfRule>
  </conditionalFormatting>
  <conditionalFormatting sqref="L5:L20">
    <cfRule type="cellIs" dxfId="2" priority="10" operator="equal">
      <formula>"✗"</formula>
    </cfRule>
  </conditionalFormatting>
  <conditionalFormatting sqref="L5:L20">
    <cfRule type="expression" dxfId="3" priority="11">
      <formula>$J5="✓"</formula>
    </cfRule>
  </conditionalFormatting>
  <conditionalFormatting sqref="M5:M20">
    <cfRule type="cellIs" dxfId="1" priority="12" operator="equal">
      <formula>"✓"</formula>
    </cfRule>
  </conditionalFormatting>
  <conditionalFormatting sqref="M5:M20">
    <cfRule type="cellIs" dxfId="2" priority="13" operator="equal">
      <formula>"✗"</formula>
    </cfRule>
  </conditionalFormatting>
  <conditionalFormatting sqref="M5:M20">
    <cfRule type="expression" dxfId="3" priority="14">
      <formula>$J5="✓"</formula>
    </cfRule>
  </conditionalFormatting>
  <conditionalFormatting sqref="N5:N20">
    <cfRule type="cellIs" dxfId="1" priority="15" operator="equal">
      <formula>"✓"</formula>
    </cfRule>
  </conditionalFormatting>
  <conditionalFormatting sqref="N5:N20">
    <cfRule type="cellIs" dxfId="2" priority="16" operator="equal">
      <formula>"✗"</formula>
    </cfRule>
  </conditionalFormatting>
  <conditionalFormatting sqref="N5:N20">
    <cfRule type="expression" dxfId="3" priority="17">
      <formula>$J5="✓"</formula>
    </cfRule>
  </conditionalFormatting>
  <conditionalFormatting sqref="H5:H20">
    <cfRule type="cellIs" dxfId="1" priority="18" operator="equal">
      <formula>"Y"</formula>
    </cfRule>
  </conditionalFormatting>
  <conditionalFormatting sqref="H5:H20">
    <cfRule type="cellIs" dxfId="2" priority="19" operator="equal">
      <formula>"N"</formula>
    </cfRule>
  </conditionalFormatting>
  <conditionalFormatting sqref="P5:P20">
    <cfRule type="expression" dxfId="3" priority="20">
      <formula>$I5="✓"</formula>
    </cfRule>
  </conditionalFormatting>
  <conditionalFormatting sqref="O5:O20">
    <cfRule type="expression" dxfId="3" priority="21">
      <formula>$I5="✗"</formula>
    </cfRule>
  </conditionalFormatting>
  <conditionalFormatting sqref="Q5:Q20">
    <cfRule type="expression" dxfId="3" priority="22">
      <formula>AND($H5="Y",$I5&lt;&gt;"✗")</formula>
    </cfRule>
  </conditionalFormatting>
  <dataValidations>
    <dataValidation type="list" allowBlank="1" sqref="T5:T20">
      <formula1>"✓"</formula1>
    </dataValidation>
    <dataValidation type="list" allowBlank="1" sqref="P5:P20">
      <formula1>"Cenikor,Lifetime Recovery,Liberty Lodge,N/A"</formula1>
    </dataValidation>
    <dataValidation type="list" allowBlank="1" sqref="H5:H20">
      <formula1>"Y,N"</formula1>
    </dataValidation>
    <dataValidation type="list" allowBlank="1" sqref="E5:E20">
      <formula1>"LOC1,LOC2,LOC3,LOC5,TBD"</formula1>
    </dataValidation>
    <dataValidation type="list" allowBlank="1" sqref="G5:G20">
      <formula1>"Oceans,Bayview,PubDef,MCOT,CaseMgr,OCR,IDD,OTHER"</formula1>
    </dataValidation>
    <dataValidation type="list" allowBlank="1" sqref="Q5:Q20">
      <formula1>"Oxford House,Wenholtz House,Rustic House,Broken Chains"</formula1>
    </dataValidation>
    <dataValidation type="list" allowBlank="1" sqref="O5:O20">
      <formula1>"Good Sam,Salvation Army,Purple Door"</formula1>
    </dataValidation>
    <dataValidation type="list" allowBlank="1" sqref="I5:N20">
      <formula1>"✓,✗"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>
      <c r="A2" s="7" t="s">
        <v>4</v>
      </c>
    </row>
    <row r="3">
      <c r="A3" s="9" t="s">
        <v>6</v>
      </c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>
      <c r="A5" s="13">
        <v>30.0</v>
      </c>
      <c r="B5" s="14"/>
      <c r="C5" s="15" t="s">
        <v>21</v>
      </c>
      <c r="D5" s="14"/>
      <c r="E5" s="17">
        <v>0.7</v>
      </c>
      <c r="F5" s="14"/>
      <c r="G5" s="18">
        <v>0.73</v>
      </c>
      <c r="H5" s="14"/>
      <c r="I5" s="18">
        <v>0.63</v>
      </c>
      <c r="J5" s="14"/>
      <c r="K5" s="2"/>
      <c r="L5" s="2"/>
    </row>
    <row r="6">
      <c r="A6" s="20"/>
      <c r="B6" s="22"/>
      <c r="C6" s="20"/>
      <c r="D6" s="22"/>
      <c r="E6" s="20"/>
      <c r="F6" s="22"/>
      <c r="G6" s="20"/>
      <c r="H6" s="22"/>
      <c r="I6" s="20"/>
      <c r="J6" s="22"/>
      <c r="K6" s="2"/>
      <c r="L6" s="2"/>
    </row>
    <row r="7">
      <c r="A7" s="23"/>
      <c r="B7" s="24"/>
      <c r="C7" s="23"/>
      <c r="D7" s="24"/>
      <c r="E7" s="23"/>
      <c r="F7" s="24"/>
      <c r="G7" s="23"/>
      <c r="H7" s="24"/>
      <c r="I7" s="23"/>
      <c r="J7" s="24"/>
      <c r="K7" s="2"/>
      <c r="L7" s="2"/>
    </row>
    <row r="8">
      <c r="A8" s="26" t="s">
        <v>37</v>
      </c>
      <c r="C8" s="26" t="s">
        <v>39</v>
      </c>
      <c r="E8" s="26" t="s">
        <v>40</v>
      </c>
      <c r="G8" s="26" t="s">
        <v>41</v>
      </c>
      <c r="I8" s="26" t="s">
        <v>42</v>
      </c>
      <c r="K8" s="2"/>
      <c r="L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>
      <c r="A11" s="32" t="s">
        <v>46</v>
      </c>
      <c r="F11" s="2"/>
      <c r="G11" s="32" t="s">
        <v>49</v>
      </c>
    </row>
    <row r="12">
      <c r="A12" s="36" t="s">
        <v>23</v>
      </c>
      <c r="B12" s="36" t="s">
        <v>55</v>
      </c>
      <c r="C12" s="36" t="s">
        <v>56</v>
      </c>
      <c r="D12" s="2"/>
      <c r="E12" s="2"/>
      <c r="F12" s="2"/>
      <c r="G12" s="36" t="s">
        <v>57</v>
      </c>
      <c r="H12" s="36" t="s">
        <v>58</v>
      </c>
      <c r="I12" s="36" t="s">
        <v>59</v>
      </c>
      <c r="J12" s="2"/>
      <c r="K12" s="2"/>
      <c r="L12" s="2"/>
    </row>
    <row r="13">
      <c r="A13" s="38" t="s">
        <v>61</v>
      </c>
      <c r="B13" s="39">
        <v>9.0</v>
      </c>
      <c r="C13" s="39">
        <v>16.3</v>
      </c>
      <c r="D13" s="2"/>
      <c r="E13" s="2"/>
      <c r="F13" s="2"/>
      <c r="G13" s="38" t="s">
        <v>62</v>
      </c>
      <c r="H13" s="39">
        <v>5.0</v>
      </c>
      <c r="I13" s="41">
        <v>0.17</v>
      </c>
      <c r="J13" s="2"/>
      <c r="K13" s="2"/>
      <c r="L13" s="2"/>
    </row>
    <row r="14">
      <c r="A14" s="38" t="s">
        <v>64</v>
      </c>
      <c r="B14" s="39">
        <v>7.0</v>
      </c>
      <c r="C14" s="39">
        <v>10.0</v>
      </c>
      <c r="D14" s="2"/>
      <c r="E14" s="2"/>
      <c r="F14" s="2"/>
      <c r="G14" s="38" t="s">
        <v>68</v>
      </c>
      <c r="H14" s="39">
        <v>5.0</v>
      </c>
      <c r="I14" s="41">
        <v>0.17</v>
      </c>
      <c r="J14" s="2"/>
      <c r="K14" s="2"/>
      <c r="L14" s="2"/>
    </row>
    <row r="15">
      <c r="A15" s="38" t="s">
        <v>65</v>
      </c>
      <c r="B15" s="39">
        <v>3.0</v>
      </c>
      <c r="C15" s="39">
        <v>8.7</v>
      </c>
      <c r="D15" s="2"/>
      <c r="E15" s="2"/>
      <c r="F15" s="2"/>
      <c r="G15" s="38" t="s">
        <v>69</v>
      </c>
      <c r="H15" s="39">
        <v>7.0</v>
      </c>
      <c r="I15" s="41">
        <v>0.23</v>
      </c>
      <c r="J15" s="2"/>
      <c r="K15" s="2"/>
      <c r="L15" s="2"/>
    </row>
    <row r="16">
      <c r="A16" s="38" t="s">
        <v>70</v>
      </c>
      <c r="B16" s="39">
        <v>0.0</v>
      </c>
      <c r="C16" s="39">
        <v>0.0</v>
      </c>
      <c r="D16" s="2"/>
      <c r="E16" s="2"/>
      <c r="F16" s="2"/>
      <c r="G16" s="38" t="s">
        <v>72</v>
      </c>
      <c r="H16" s="39">
        <v>2.0</v>
      </c>
      <c r="I16" s="41">
        <v>0.07</v>
      </c>
      <c r="J16" s="2"/>
      <c r="K16" s="2"/>
      <c r="L16" s="2"/>
    </row>
    <row r="17">
      <c r="A17" s="38" t="s">
        <v>73</v>
      </c>
      <c r="B17" s="39">
        <v>11.0</v>
      </c>
      <c r="C17" s="39">
        <v>9.9</v>
      </c>
      <c r="D17" s="2"/>
      <c r="E17" s="2"/>
      <c r="F17" s="2"/>
      <c r="G17" s="38" t="s">
        <v>74</v>
      </c>
      <c r="H17" s="39">
        <v>3.0</v>
      </c>
      <c r="I17" s="41">
        <v>0.1</v>
      </c>
      <c r="J17" s="2"/>
      <c r="K17" s="2"/>
      <c r="L17" s="2"/>
    </row>
    <row r="18">
      <c r="A18" s="2"/>
      <c r="B18" s="2"/>
      <c r="C18" s="2"/>
      <c r="D18" s="2"/>
      <c r="E18" s="2"/>
      <c r="F18" s="2"/>
      <c r="G18" s="38" t="s">
        <v>67</v>
      </c>
      <c r="H18" s="39">
        <v>2.0</v>
      </c>
      <c r="I18" s="41">
        <v>0.07</v>
      </c>
      <c r="J18" s="2"/>
      <c r="K18" s="2"/>
      <c r="L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>
      <c r="A20" s="32" t="s">
        <v>75</v>
      </c>
      <c r="F20" s="2"/>
      <c r="G20" s="2"/>
      <c r="H20" s="2"/>
      <c r="I20" s="2"/>
      <c r="J20" s="2"/>
      <c r="K20" s="2"/>
      <c r="L20" s="2"/>
    </row>
    <row r="21">
      <c r="A21" s="36" t="s">
        <v>77</v>
      </c>
      <c r="B21" s="36" t="s">
        <v>78</v>
      </c>
      <c r="C21" s="36" t="s">
        <v>79</v>
      </c>
      <c r="D21" s="2"/>
      <c r="E21" s="2"/>
      <c r="F21" s="2"/>
      <c r="G21" s="2"/>
      <c r="H21" s="2"/>
      <c r="I21" s="2"/>
      <c r="J21" s="2"/>
      <c r="K21" s="2"/>
      <c r="L21" s="2"/>
    </row>
    <row r="22">
      <c r="A22" s="38" t="s">
        <v>80</v>
      </c>
      <c r="B22" s="39">
        <v>21.0</v>
      </c>
      <c r="C22" s="50">
        <v>0.7</v>
      </c>
      <c r="D22" s="2"/>
      <c r="E22" s="2"/>
      <c r="F22" s="2"/>
      <c r="G22" s="2"/>
      <c r="H22" s="2"/>
      <c r="I22" s="2"/>
      <c r="J22" s="2"/>
      <c r="K22" s="2"/>
      <c r="L22" s="2"/>
    </row>
    <row r="23">
      <c r="A23" s="38" t="s">
        <v>81</v>
      </c>
      <c r="B23" s="39">
        <v>22.0</v>
      </c>
      <c r="C23" s="50">
        <v>0.73</v>
      </c>
      <c r="D23" s="2"/>
      <c r="E23" s="2"/>
      <c r="F23" s="2"/>
      <c r="G23" s="2"/>
      <c r="H23" s="2"/>
      <c r="I23" s="2"/>
      <c r="J23" s="2"/>
      <c r="K23" s="2"/>
      <c r="L23" s="2"/>
    </row>
    <row r="24">
      <c r="A24" s="38" t="s">
        <v>83</v>
      </c>
      <c r="B24" s="39">
        <v>17.0</v>
      </c>
      <c r="C24" s="50">
        <v>0.57</v>
      </c>
      <c r="D24" s="2"/>
      <c r="E24" s="2"/>
      <c r="F24" s="2"/>
      <c r="G24" s="2"/>
      <c r="H24" s="2"/>
      <c r="I24" s="2"/>
      <c r="J24" s="2"/>
      <c r="K24" s="2"/>
      <c r="L24" s="2"/>
    </row>
    <row r="25">
      <c r="A25" s="38" t="s">
        <v>90</v>
      </c>
      <c r="B25" s="39">
        <v>19.0</v>
      </c>
      <c r="C25" s="50">
        <v>0.63</v>
      </c>
      <c r="D25" s="2"/>
      <c r="E25" s="2"/>
      <c r="F25" s="2"/>
      <c r="G25" s="2"/>
      <c r="H25" s="2"/>
      <c r="I25" s="2"/>
      <c r="J25" s="2"/>
      <c r="K25" s="2"/>
      <c r="L25" s="2"/>
    </row>
    <row r="26">
      <c r="A26" s="38" t="s">
        <v>92</v>
      </c>
      <c r="B26" s="39">
        <v>19.0</v>
      </c>
      <c r="C26" s="50">
        <v>0.63</v>
      </c>
      <c r="D26" s="2"/>
      <c r="E26" s="2"/>
      <c r="F26" s="2"/>
      <c r="G26" s="2"/>
      <c r="H26" s="2"/>
      <c r="I26" s="2"/>
      <c r="J26" s="2"/>
      <c r="K26" s="2"/>
      <c r="L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</sheetData>
  <mergeCells count="15">
    <mergeCell ref="A8:B8"/>
    <mergeCell ref="C8:D8"/>
    <mergeCell ref="E8:F8"/>
    <mergeCell ref="G8:H8"/>
    <mergeCell ref="I8:J8"/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Col="1"/>
  <cols>
    <col customWidth="1" min="1" max="10" width="12.0"/>
    <col customWidth="1" min="11" max="11" width="16.0"/>
    <col customWidth="1" min="12" max="12" width="10.57"/>
    <col customWidth="1" min="13" max="13" width="30.0"/>
    <col customWidth="1" min="14" max="14" width="10.0"/>
    <col customWidth="1" min="15" max="15" width="12.0"/>
    <col customWidth="1" min="16" max="24" width="8.71"/>
  </cols>
  <sheetData>
    <row r="1" ht="21.75" customHeight="1">
      <c r="A1" s="1" t="s">
        <v>1</v>
      </c>
      <c r="J1" s="3"/>
      <c r="K1" s="3"/>
      <c r="L1" s="3"/>
      <c r="M1" s="3"/>
    </row>
    <row r="2" ht="15.0" customHeight="1">
      <c r="A2" s="5" t="s">
        <v>2</v>
      </c>
      <c r="J2" s="3"/>
      <c r="K2" s="3"/>
      <c r="L2" s="3"/>
      <c r="M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31.5" customHeight="1">
      <c r="A4" s="8" t="s">
        <v>5</v>
      </c>
      <c r="B4" s="8" t="s">
        <v>7</v>
      </c>
      <c r="C4" s="8" t="s">
        <v>8</v>
      </c>
      <c r="D4" s="10" t="s">
        <v>9</v>
      </c>
      <c r="E4" s="8" t="s">
        <v>10</v>
      </c>
      <c r="F4" s="11" t="s">
        <v>11</v>
      </c>
      <c r="G4" s="12" t="s">
        <v>12</v>
      </c>
      <c r="H4" s="12" t="s">
        <v>13</v>
      </c>
      <c r="I4" s="8" t="s">
        <v>14</v>
      </c>
      <c r="J4" s="8" t="s">
        <v>15</v>
      </c>
      <c r="K4" s="8" t="s">
        <v>17</v>
      </c>
      <c r="L4" s="12" t="s">
        <v>19</v>
      </c>
      <c r="M4" s="8" t="s">
        <v>22</v>
      </c>
      <c r="N4" s="8" t="s">
        <v>23</v>
      </c>
      <c r="O4" s="8" t="s">
        <v>24</v>
      </c>
    </row>
    <row r="5" ht="15.0" customHeight="1">
      <c r="A5" s="19">
        <f>'Client Needs Tracker'!A5</f>
        <v>102558</v>
      </c>
      <c r="B5" s="19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19" t="str">
        <f>IF('Client Needs Tracker'!S5="","",'Client Needs Tracker'!S5)</f>
        <v>M - 1A</v>
      </c>
      <c r="D5" s="29" t="str">
        <f>IF('Client Needs Tracker'!G5="","",'Client Needs Tracker'!G5)</f>
        <v>PubDef</v>
      </c>
      <c r="E5" s="19" t="str">
        <f>IF('Client Needs Tracker'!F5="","",'Client Needs Tracker'!F5)</f>
        <v>TBD</v>
      </c>
      <c r="F5" s="31" t="s">
        <v>44</v>
      </c>
      <c r="G5" s="29" t="s">
        <v>47</v>
      </c>
      <c r="H5" s="33">
        <v>0.3645833333333333</v>
      </c>
      <c r="I5" s="34">
        <v>46240.0</v>
      </c>
      <c r="J5" s="35" t="s">
        <v>51</v>
      </c>
      <c r="K5" s="29" t="s">
        <v>53</v>
      </c>
      <c r="L5" s="35" t="s">
        <v>54</v>
      </c>
      <c r="M5" s="46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19" t="str">
        <f>IF('Client Needs Tracker'!E5="","",'Client Needs Tracker'!E5)</f>
        <v>TBD</v>
      </c>
      <c r="O5" s="47">
        <f>IF('Client Needs Tracker'!C5="","",'Client Needs Tracker'!C5)</f>
        <v>46228</v>
      </c>
    </row>
    <row r="6" ht="15.0" customHeight="1">
      <c r="A6" s="19">
        <f>'Client Needs Tracker'!A6</f>
        <v>258025</v>
      </c>
      <c r="B6" s="19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M.C.</v>
      </c>
      <c r="C6" s="19" t="str">
        <f>IF('Client Needs Tracker'!S6="","",'Client Needs Tracker'!S6)</f>
        <v>M - 1B</v>
      </c>
      <c r="D6" s="29" t="str">
        <f>IF('Client Needs Tracker'!G6="","",'Client Needs Tracker'!G6)</f>
        <v>CaseMgr</v>
      </c>
      <c r="E6" s="19" t="str">
        <f>IF('Client Needs Tracker'!F6="","",'Client Needs Tracker'!F6)</f>
        <v>J. Wilkers</v>
      </c>
      <c r="F6" s="31" t="s">
        <v>84</v>
      </c>
      <c r="G6" s="29" t="s">
        <v>86</v>
      </c>
      <c r="H6" s="33">
        <v>0.3854166666666667</v>
      </c>
      <c r="I6" s="40">
        <v>46244.0</v>
      </c>
      <c r="J6" s="35"/>
      <c r="K6" s="29" t="s">
        <v>88</v>
      </c>
      <c r="L6" s="35" t="s">
        <v>89</v>
      </c>
      <c r="M6" s="46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19" t="str">
        <f>IF('Client Needs Tracker'!E6="","",'Client Needs Tracker'!E6)</f>
        <v>LOC3</v>
      </c>
      <c r="O6" s="47">
        <f>IF('Client Needs Tracker'!C6="","",'Client Needs Tracker'!C6)</f>
        <v>46235</v>
      </c>
    </row>
    <row r="7" ht="15.0" customHeight="1">
      <c r="A7" s="19" t="str">
        <f>'Client Needs Tracker'!A7</f>
        <v/>
      </c>
      <c r="B7" s="19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/>
      </c>
      <c r="C7" s="19" t="str">
        <f>IF('Client Needs Tracker'!S7="","",'Client Needs Tracker'!S7)</f>
        <v>M - 2A</v>
      </c>
      <c r="D7" s="29" t="str">
        <f>IF('Client Needs Tracker'!G7="","",'Client Needs Tracker'!G7)</f>
        <v/>
      </c>
      <c r="E7" s="19" t="str">
        <f>IF('Client Needs Tracker'!F7="","",'Client Needs Tracker'!F7)</f>
        <v/>
      </c>
      <c r="F7" s="31"/>
      <c r="G7" s="29"/>
      <c r="H7" s="33"/>
      <c r="I7" s="34"/>
      <c r="J7" s="35"/>
      <c r="K7" s="29"/>
      <c r="L7" s="35"/>
      <c r="M7" s="46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19" t="str">
        <f>IF('Client Needs Tracker'!E7="","",'Client Needs Tracker'!E7)</f>
        <v/>
      </c>
      <c r="O7" s="47" t="str">
        <f>IF('Client Needs Tracker'!C7="","",'Client Needs Tracker'!C7)</f>
        <v/>
      </c>
    </row>
    <row r="8" ht="15.0" customHeight="1">
      <c r="A8" s="19" t="str">
        <f>'Client Needs Tracker'!A8</f>
        <v/>
      </c>
      <c r="B8" s="19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/>
      </c>
      <c r="C8" s="19" t="str">
        <f>IF('Client Needs Tracker'!S8="","",'Client Needs Tracker'!S8)</f>
        <v>M - 2B</v>
      </c>
      <c r="D8" s="29" t="str">
        <f>IF('Client Needs Tracker'!G8="","",'Client Needs Tracker'!G8)</f>
        <v/>
      </c>
      <c r="E8" s="19" t="str">
        <f>IF('Client Needs Tracker'!F8="","",'Client Needs Tracker'!F8)</f>
        <v/>
      </c>
      <c r="F8" s="31" t="s">
        <v>84</v>
      </c>
      <c r="G8" s="47"/>
      <c r="H8" s="33"/>
      <c r="I8" s="19"/>
      <c r="J8" s="46"/>
      <c r="K8" s="29" t="s">
        <v>53</v>
      </c>
      <c r="L8" s="46"/>
      <c r="M8" s="46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19" t="str">
        <f>IF('Client Needs Tracker'!E8="","",'Client Needs Tracker'!E8)</f>
        <v/>
      </c>
      <c r="O8" s="47" t="str">
        <f>IF('Client Needs Tracker'!C8="","",'Client Needs Tracker'!C8)</f>
        <v/>
      </c>
    </row>
    <row r="9" ht="15.0" customHeight="1">
      <c r="A9" s="19" t="str">
        <f>'Client Needs Tracker'!A9</f>
        <v/>
      </c>
      <c r="B9" s="19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/>
      </c>
      <c r="C9" s="19" t="str">
        <f>IF('Client Needs Tracker'!S9="","",'Client Needs Tracker'!S9)</f>
        <v>M - 3A</v>
      </c>
      <c r="D9" s="29" t="str">
        <f>IF('Client Needs Tracker'!G9="","",'Client Needs Tracker'!G9)</f>
        <v/>
      </c>
      <c r="E9" s="19" t="str">
        <f>IF('Client Needs Tracker'!F9="","",'Client Needs Tracker'!F9)</f>
        <v/>
      </c>
      <c r="F9" s="31" t="s">
        <v>84</v>
      </c>
      <c r="G9" s="47"/>
      <c r="H9" s="33"/>
      <c r="I9" s="19"/>
      <c r="J9" s="46"/>
      <c r="K9" s="29" t="s">
        <v>53</v>
      </c>
      <c r="L9" s="46"/>
      <c r="M9" s="46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19" t="str">
        <f>IF('Client Needs Tracker'!E9="","",'Client Needs Tracker'!E9)</f>
        <v/>
      </c>
      <c r="O9" s="47" t="str">
        <f>IF('Client Needs Tracker'!C9="","",'Client Needs Tracker'!C9)</f>
        <v/>
      </c>
    </row>
    <row r="10" ht="15.0" customHeight="1">
      <c r="A10" s="19" t="str">
        <f>'Client Needs Tracker'!A10</f>
        <v/>
      </c>
      <c r="B10" s="19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/>
      </c>
      <c r="C10" s="19" t="str">
        <f>IF('Client Needs Tracker'!S10="","",'Client Needs Tracker'!S10)</f>
        <v>M - 3B</v>
      </c>
      <c r="D10" s="29" t="str">
        <f>IF('Client Needs Tracker'!G10="","",'Client Needs Tracker'!G10)</f>
        <v/>
      </c>
      <c r="E10" s="19" t="str">
        <f>IF('Client Needs Tracker'!F10="","",'Client Needs Tracker'!F10)</f>
        <v/>
      </c>
      <c r="F10" s="31" t="s">
        <v>84</v>
      </c>
      <c r="G10" s="47"/>
      <c r="H10" s="33"/>
      <c r="I10" s="19"/>
      <c r="J10" s="46"/>
      <c r="K10" s="29" t="s">
        <v>53</v>
      </c>
      <c r="L10" s="46"/>
      <c r="M10" s="46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19" t="str">
        <f>IF('Client Needs Tracker'!E10="","",'Client Needs Tracker'!E10)</f>
        <v/>
      </c>
      <c r="O10" s="47" t="str">
        <f>IF('Client Needs Tracker'!C10="","",'Client Needs Tracker'!C10)</f>
        <v/>
      </c>
    </row>
    <row r="11" ht="15.0" customHeight="1">
      <c r="A11" s="19" t="str">
        <f>'Client Needs Tracker'!A11</f>
        <v/>
      </c>
      <c r="B11" s="19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/>
      </c>
      <c r="C11" s="19" t="str">
        <f>IF('Client Needs Tracker'!S11="","",'Client Needs Tracker'!S11)</f>
        <v>M - 4A</v>
      </c>
      <c r="D11" s="29" t="str">
        <f>IF('Client Needs Tracker'!G11="","",'Client Needs Tracker'!G11)</f>
        <v/>
      </c>
      <c r="E11" s="19" t="str">
        <f>IF('Client Needs Tracker'!F11="","",'Client Needs Tracker'!F11)</f>
        <v/>
      </c>
      <c r="F11" s="31" t="s">
        <v>84</v>
      </c>
      <c r="G11" s="47"/>
      <c r="H11" s="33"/>
      <c r="I11" s="19"/>
      <c r="J11" s="46"/>
      <c r="K11" s="29" t="s">
        <v>53</v>
      </c>
      <c r="L11" s="46"/>
      <c r="M11" s="46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19" t="str">
        <f>IF('Client Needs Tracker'!E11="","",'Client Needs Tracker'!E11)</f>
        <v/>
      </c>
      <c r="O11" s="47" t="str">
        <f>IF('Client Needs Tracker'!C11="","",'Client Needs Tracker'!C11)</f>
        <v/>
      </c>
    </row>
    <row r="12" ht="15.0" customHeight="1">
      <c r="A12" s="19" t="str">
        <f>'Client Needs Tracker'!A12</f>
        <v/>
      </c>
      <c r="B12" s="19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19" t="str">
        <f>IF('Client Needs Tracker'!S12="","",'Client Needs Tracker'!S12)</f>
        <v>M - 4B</v>
      </c>
      <c r="D12" s="29" t="str">
        <f>IF('Client Needs Tracker'!G12="","",'Client Needs Tracker'!G12)</f>
        <v/>
      </c>
      <c r="E12" s="19" t="str">
        <f>IF('Client Needs Tracker'!F12="","",'Client Needs Tracker'!F12)</f>
        <v/>
      </c>
      <c r="F12" s="31" t="s">
        <v>84</v>
      </c>
      <c r="G12" s="47"/>
      <c r="H12" s="33"/>
      <c r="I12" s="19"/>
      <c r="J12" s="46"/>
      <c r="K12" s="29" t="s">
        <v>53</v>
      </c>
      <c r="L12" s="46"/>
      <c r="M12" s="46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19" t="str">
        <f>IF('Client Needs Tracker'!E12="","",'Client Needs Tracker'!E12)</f>
        <v/>
      </c>
      <c r="O12" s="47" t="str">
        <f>IF('Client Needs Tracker'!C12="","",'Client Needs Tracker'!C12)</f>
        <v/>
      </c>
    </row>
    <row r="13" ht="15.0" customHeight="1">
      <c r="A13" s="19">
        <f>'Client Needs Tracker'!A13</f>
        <v>102558</v>
      </c>
      <c r="B13" s="19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19" t="str">
        <f>IF('Client Needs Tracker'!S13="","",'Client Needs Tracker'!S13)</f>
        <v>F - 1A</v>
      </c>
      <c r="D13" s="29" t="str">
        <f>IF('Client Needs Tracker'!G13="","",'Client Needs Tracker'!G13)</f>
        <v>Bayview</v>
      </c>
      <c r="E13" s="29"/>
      <c r="F13" s="31"/>
      <c r="G13" s="29"/>
      <c r="H13" s="33"/>
      <c r="I13" s="34"/>
      <c r="J13" s="46"/>
      <c r="K13" s="29"/>
      <c r="L13" s="35"/>
      <c r="M13" s="46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19" t="str">
        <f>IF('Client Needs Tracker'!E13="","",'Client Needs Tracker'!E13)</f>
        <v>LOC3</v>
      </c>
      <c r="O13" s="47">
        <f>IF('Client Needs Tracker'!C13="","",'Client Needs Tracker'!C13)</f>
        <v>46223</v>
      </c>
    </row>
    <row r="14" ht="15.0" customHeight="1">
      <c r="A14" s="19" t="str">
        <f>'Client Needs Tracker'!A14</f>
        <v/>
      </c>
      <c r="B14" s="19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/>
      </c>
      <c r="C14" s="19" t="str">
        <f>IF('Client Needs Tracker'!S14="","",'Client Needs Tracker'!S14)</f>
        <v>F - 1B</v>
      </c>
      <c r="D14" s="29" t="str">
        <f>IF('Client Needs Tracker'!G14="","",'Client Needs Tracker'!G14)</f>
        <v/>
      </c>
      <c r="E14" s="19" t="str">
        <f>IF('Client Needs Tracker'!F14="","",'Client Needs Tracker'!F14)</f>
        <v/>
      </c>
      <c r="F14" s="31" t="s">
        <v>84</v>
      </c>
      <c r="G14" s="47"/>
      <c r="H14" s="33"/>
      <c r="I14" s="19"/>
      <c r="J14" s="46"/>
      <c r="K14" s="29" t="s">
        <v>53</v>
      </c>
      <c r="L14" s="46"/>
      <c r="M14" s="46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19" t="str">
        <f>IF('Client Needs Tracker'!E14="","",'Client Needs Tracker'!E14)</f>
        <v/>
      </c>
      <c r="O14" s="47" t="str">
        <f>IF('Client Needs Tracker'!C14="","",'Client Needs Tracker'!C14)</f>
        <v/>
      </c>
    </row>
    <row r="15" ht="15.0" customHeight="1">
      <c r="A15" s="19" t="str">
        <f>'Client Needs Tracker'!A15</f>
        <v/>
      </c>
      <c r="B15" s="19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/>
      </c>
      <c r="C15" s="19" t="str">
        <f>IF('Client Needs Tracker'!S15="","",'Client Needs Tracker'!S15)</f>
        <v>F - 2A</v>
      </c>
      <c r="D15" s="29" t="str">
        <f>IF('Client Needs Tracker'!G15="","",'Client Needs Tracker'!G15)</f>
        <v/>
      </c>
      <c r="E15" s="19" t="str">
        <f>IF('Client Needs Tracker'!F15="","",'Client Needs Tracker'!F15)</f>
        <v/>
      </c>
      <c r="F15" s="31" t="s">
        <v>84</v>
      </c>
      <c r="G15" s="47"/>
      <c r="H15" s="33"/>
      <c r="I15" s="19"/>
      <c r="J15" s="46"/>
      <c r="K15" s="29" t="s">
        <v>53</v>
      </c>
      <c r="L15" s="46"/>
      <c r="M15" s="46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19" t="str">
        <f>IF('Client Needs Tracker'!E15="","",'Client Needs Tracker'!E15)</f>
        <v/>
      </c>
      <c r="O15" s="47" t="str">
        <f>IF('Client Needs Tracker'!C15="","",'Client Needs Tracker'!C15)</f>
        <v/>
      </c>
    </row>
    <row r="16" ht="15.0" customHeight="1">
      <c r="A16" s="19" t="str">
        <f>'Client Needs Tracker'!A16</f>
        <v/>
      </c>
      <c r="B16" s="19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/>
      </c>
      <c r="C16" s="19" t="str">
        <f>IF('Client Needs Tracker'!S16="","",'Client Needs Tracker'!S16)</f>
        <v>F - 2B</v>
      </c>
      <c r="D16" s="29" t="str">
        <f>IF('Client Needs Tracker'!G16="","",'Client Needs Tracker'!G16)</f>
        <v/>
      </c>
      <c r="E16" s="19" t="str">
        <f>IF('Client Needs Tracker'!F16="","",'Client Needs Tracker'!F16)</f>
        <v/>
      </c>
      <c r="F16" s="31" t="s">
        <v>84</v>
      </c>
      <c r="G16" s="47"/>
      <c r="H16" s="33"/>
      <c r="I16" s="19"/>
      <c r="J16" s="46"/>
      <c r="K16" s="29" t="s">
        <v>53</v>
      </c>
      <c r="L16" s="46"/>
      <c r="M16" s="46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19" t="str">
        <f>IF('Client Needs Tracker'!E16="","",'Client Needs Tracker'!E16)</f>
        <v/>
      </c>
      <c r="O16" s="47" t="str">
        <f>IF('Client Needs Tracker'!C16="","",'Client Needs Tracker'!C16)</f>
        <v/>
      </c>
    </row>
    <row r="17" ht="15.0" customHeight="1">
      <c r="A17" s="19" t="str">
        <f>'Client Needs Tracker'!A17</f>
        <v/>
      </c>
      <c r="B17" s="19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/>
      </c>
      <c r="C17" s="19" t="str">
        <f>IF('Client Needs Tracker'!S17="","",'Client Needs Tracker'!S17)</f>
        <v>F - 3A</v>
      </c>
      <c r="D17" s="29" t="str">
        <f>IF('Client Needs Tracker'!G17="","",'Client Needs Tracker'!G17)</f>
        <v/>
      </c>
      <c r="E17" s="19" t="str">
        <f>IF('Client Needs Tracker'!F17="","",'Client Needs Tracker'!F17)</f>
        <v/>
      </c>
      <c r="F17" s="31" t="s">
        <v>84</v>
      </c>
      <c r="G17" s="47"/>
      <c r="H17" s="33"/>
      <c r="I17" s="19"/>
      <c r="J17" s="46"/>
      <c r="K17" s="29" t="s">
        <v>53</v>
      </c>
      <c r="L17" s="46"/>
      <c r="M17" s="46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19" t="str">
        <f>IF('Client Needs Tracker'!E17="","",'Client Needs Tracker'!E17)</f>
        <v/>
      </c>
      <c r="O17" s="47" t="str">
        <f>IF('Client Needs Tracker'!C17="","",'Client Needs Tracker'!C17)</f>
        <v/>
      </c>
    </row>
    <row r="18" ht="15.0" customHeight="1">
      <c r="A18" s="19" t="str">
        <f>'Client Needs Tracker'!A18</f>
        <v/>
      </c>
      <c r="B18" s="19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/>
      </c>
      <c r="C18" s="19" t="str">
        <f>IF('Client Needs Tracker'!S18="","",'Client Needs Tracker'!S18)</f>
        <v>F - 3B</v>
      </c>
      <c r="D18" s="29" t="str">
        <f>IF('Client Needs Tracker'!G18="","",'Client Needs Tracker'!G18)</f>
        <v/>
      </c>
      <c r="E18" s="19" t="str">
        <f>IF('Client Needs Tracker'!F18="","",'Client Needs Tracker'!F18)</f>
        <v/>
      </c>
      <c r="F18" s="31" t="s">
        <v>84</v>
      </c>
      <c r="G18" s="47"/>
      <c r="H18" s="33"/>
      <c r="I18" s="19"/>
      <c r="J18" s="46"/>
      <c r="K18" s="29" t="s">
        <v>53</v>
      </c>
      <c r="L18" s="46"/>
      <c r="M18" s="46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/>
      </c>
      <c r="N18" s="19" t="str">
        <f>IF('Client Needs Tracker'!E18="","",'Client Needs Tracker'!E18)</f>
        <v/>
      </c>
      <c r="O18" s="47" t="str">
        <f>IF('Client Needs Tracker'!C18="","",'Client Needs Tracker'!C18)</f>
        <v/>
      </c>
    </row>
    <row r="19" ht="15.0" customHeight="1">
      <c r="A19" s="19" t="str">
        <f>'Client Needs Tracker'!A19</f>
        <v/>
      </c>
      <c r="B19" s="19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19" t="str">
        <f>IF('Client Needs Tracker'!S19="","",'Client Needs Tracker'!S19)</f>
        <v>F - 4A</v>
      </c>
      <c r="D19" s="29" t="str">
        <f>IF('Client Needs Tracker'!G19="","",'Client Needs Tracker'!G19)</f>
        <v/>
      </c>
      <c r="E19" s="19" t="str">
        <f>IF('Client Needs Tracker'!F19="","",'Client Needs Tracker'!F19)</f>
        <v/>
      </c>
      <c r="F19" s="31" t="s">
        <v>84</v>
      </c>
      <c r="G19" s="47"/>
      <c r="H19" s="33"/>
      <c r="I19" s="19"/>
      <c r="J19" s="46"/>
      <c r="K19" s="29" t="s">
        <v>53</v>
      </c>
      <c r="L19" s="46"/>
      <c r="M19" s="46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19" t="str">
        <f>IF('Client Needs Tracker'!E19="","",'Client Needs Tracker'!E19)</f>
        <v/>
      </c>
      <c r="O19" s="47" t="str">
        <f>IF('Client Needs Tracker'!C19="","",'Client Needs Tracker'!C19)</f>
        <v/>
      </c>
    </row>
    <row r="20" ht="15.0" customHeight="1">
      <c r="A20" s="19" t="str">
        <f>'Client Needs Tracker'!A20</f>
        <v/>
      </c>
      <c r="B20" s="19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19" t="str">
        <f>IF('Client Needs Tracker'!S20="","",'Client Needs Tracker'!S20)</f>
        <v>F - 4B</v>
      </c>
      <c r="D20" s="29" t="str">
        <f>IF('Client Needs Tracker'!G20="","",'Client Needs Tracker'!G20)</f>
        <v/>
      </c>
      <c r="E20" s="19" t="str">
        <f>IF('Client Needs Tracker'!F20="","",'Client Needs Tracker'!F20)</f>
        <v/>
      </c>
      <c r="F20" s="31" t="s">
        <v>84</v>
      </c>
      <c r="G20" s="47"/>
      <c r="H20" s="33"/>
      <c r="I20" s="19"/>
      <c r="J20" s="46"/>
      <c r="K20" s="29" t="s">
        <v>53</v>
      </c>
      <c r="L20" s="46"/>
      <c r="M20" s="46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19" t="str">
        <f>IF('Client Needs Tracker'!E20="","",'Client Needs Tracker'!E20)</f>
        <v/>
      </c>
      <c r="O20" s="47" t="str">
        <f>IF('Client Needs Tracker'!C20="","",'Client Needs Tracker'!C20)</f>
        <v/>
      </c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</row>
  </sheetData>
  <mergeCells count="2">
    <mergeCell ref="A1:I1"/>
    <mergeCell ref="A2:I2"/>
  </mergeCells>
  <dataValidations>
    <dataValidation type="list" allowBlank="1" showErrorMessage="1" sqref="F5:F20">
      <formula1>"Requested/Pending,Scheduled"</formula1>
    </dataValidation>
    <dataValidation type="list" allowBlank="1" showErrorMessage="1" sqref="K5:K20">
      <formula1>"Submitted/Pending,Picked Up,Other/See Med Clerk"</formula1>
    </dataValidation>
    <dataValidation type="custom" allowBlank="1" showDropDown="1" sqref="I5">
      <formula1>OR(NOT(ISERROR(DATEVALUE(I5))), AND(ISNUMBER(I5), LEFT(CELL("format", I5))="D"))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4" width="26.0"/>
    <col customWidth="1" min="5" max="26" width="8.71"/>
  </cols>
  <sheetData>
    <row r="1" ht="15.0" customHeight="1">
      <c r="A1" s="79" t="s">
        <v>118</v>
      </c>
      <c r="B1" s="3"/>
      <c r="C1" s="3"/>
      <c r="D1" s="3"/>
    </row>
    <row r="2">
      <c r="A2" s="3"/>
      <c r="B2" s="3"/>
      <c r="C2" s="3"/>
      <c r="D2" s="3"/>
    </row>
    <row r="3" ht="15.0" customHeight="1">
      <c r="A3" s="81" t="s">
        <v>120</v>
      </c>
      <c r="B3" s="81" t="s">
        <v>121</v>
      </c>
      <c r="C3" s="81" t="s">
        <v>122</v>
      </c>
      <c r="D3" s="81" t="s">
        <v>123</v>
      </c>
    </row>
    <row r="4" ht="15.0" customHeight="1">
      <c r="A4" s="3" t="s">
        <v>124</v>
      </c>
      <c r="B4" s="3" t="s">
        <v>125</v>
      </c>
      <c r="C4" s="3" t="s">
        <v>126</v>
      </c>
      <c r="D4" s="3" t="s">
        <v>124</v>
      </c>
    </row>
    <row r="5" ht="15.0" customHeight="1">
      <c r="A5" s="3" t="s">
        <v>127</v>
      </c>
      <c r="B5" s="3" t="s">
        <v>128</v>
      </c>
      <c r="C5" s="3" t="s">
        <v>129</v>
      </c>
      <c r="D5" s="3" t="s">
        <v>127</v>
      </c>
    </row>
    <row r="6" ht="15.0" customHeight="1">
      <c r="A6" s="3" t="s">
        <v>130</v>
      </c>
      <c r="B6" s="3" t="s">
        <v>131</v>
      </c>
      <c r="C6" s="3" t="s">
        <v>132</v>
      </c>
      <c r="D6" s="3" t="s">
        <v>130</v>
      </c>
    </row>
    <row r="7" ht="15.0" customHeight="1">
      <c r="A7" s="3" t="s">
        <v>133</v>
      </c>
      <c r="B7" s="3" t="s">
        <v>134</v>
      </c>
      <c r="C7" s="3" t="s">
        <v>135</v>
      </c>
      <c r="D7" s="3" t="s">
        <v>133</v>
      </c>
    </row>
    <row r="8" ht="15.0" customHeight="1">
      <c r="A8" s="3" t="s">
        <v>136</v>
      </c>
      <c r="B8" s="3" t="s">
        <v>137</v>
      </c>
      <c r="C8" s="3" t="s">
        <v>138</v>
      </c>
      <c r="D8" s="3" t="s">
        <v>136</v>
      </c>
    </row>
    <row r="9" ht="15.0" customHeight="1">
      <c r="A9" s="3" t="s">
        <v>139</v>
      </c>
      <c r="B9" s="3" t="s">
        <v>140</v>
      </c>
      <c r="C9" s="3" t="s">
        <v>141</v>
      </c>
      <c r="D9" s="3" t="s">
        <v>139</v>
      </c>
    </row>
    <row r="10" ht="15.0" customHeight="1">
      <c r="A10" s="3" t="s">
        <v>142</v>
      </c>
      <c r="B10" s="3" t="s">
        <v>143</v>
      </c>
      <c r="C10" s="3"/>
      <c r="D10" s="3" t="s">
        <v>142</v>
      </c>
    </row>
    <row r="11" ht="15.0" customHeight="1">
      <c r="A11" s="3" t="s">
        <v>144</v>
      </c>
      <c r="B11" s="3" t="s">
        <v>145</v>
      </c>
      <c r="C11" s="3"/>
      <c r="D11" s="3" t="s">
        <v>144</v>
      </c>
    </row>
    <row r="12" ht="15.0" customHeight="1">
      <c r="A12" s="3" t="s">
        <v>146</v>
      </c>
      <c r="B12" s="3"/>
      <c r="C12" s="3"/>
      <c r="D12" s="3" t="s">
        <v>146</v>
      </c>
    </row>
    <row r="13" ht="15.0" customHeight="1">
      <c r="A13" s="3"/>
      <c r="B13" s="3"/>
      <c r="C13" s="3"/>
      <c r="D13" s="3" t="s">
        <v>125</v>
      </c>
    </row>
    <row r="14" ht="15.0" customHeight="1">
      <c r="A14" s="3"/>
      <c r="B14" s="3"/>
      <c r="C14" s="3"/>
      <c r="D14" s="3" t="s">
        <v>128</v>
      </c>
    </row>
    <row r="15" ht="15.0" customHeight="1">
      <c r="A15" s="3"/>
      <c r="B15" s="3"/>
      <c r="C15" s="3"/>
      <c r="D15" s="3" t="s">
        <v>131</v>
      </c>
    </row>
    <row r="16" ht="15.0" customHeight="1">
      <c r="A16" s="3"/>
      <c r="B16" s="3"/>
      <c r="C16" s="3"/>
      <c r="D16" s="3" t="s">
        <v>134</v>
      </c>
    </row>
    <row r="17" ht="15.0" customHeight="1">
      <c r="A17" s="3"/>
      <c r="B17" s="3"/>
      <c r="C17" s="3"/>
      <c r="D17" s="3" t="s">
        <v>137</v>
      </c>
    </row>
    <row r="18" ht="15.0" customHeight="1">
      <c r="A18" s="3"/>
      <c r="B18" s="3"/>
      <c r="C18" s="3"/>
      <c r="D18" s="3" t="s">
        <v>140</v>
      </c>
    </row>
    <row r="19" ht="15.0" customHeight="1">
      <c r="A19" s="3"/>
      <c r="B19" s="3"/>
      <c r="C19" s="3"/>
      <c r="D19" s="3" t="s">
        <v>143</v>
      </c>
    </row>
    <row r="20" ht="15.0" customHeight="1">
      <c r="A20" s="3"/>
      <c r="B20" s="3"/>
      <c r="C20" s="3"/>
      <c r="D20" s="3" t="s">
        <v>145</v>
      </c>
    </row>
    <row r="21" ht="15.0" customHeight="1">
      <c r="A21" s="3"/>
      <c r="B21" s="3"/>
      <c r="C21" s="3"/>
      <c r="D21" s="3" t="s">
        <v>126</v>
      </c>
    </row>
    <row r="22" ht="15.0" customHeight="1">
      <c r="A22" s="3"/>
      <c r="B22" s="3"/>
      <c r="C22" s="3"/>
      <c r="D22" s="3" t="s">
        <v>129</v>
      </c>
    </row>
    <row r="23" ht="15.0" customHeight="1">
      <c r="A23" s="3"/>
      <c r="B23" s="3"/>
      <c r="C23" s="3"/>
      <c r="D23" s="3" t="s">
        <v>132</v>
      </c>
    </row>
    <row r="24" ht="15.0" customHeight="1">
      <c r="A24" s="3"/>
      <c r="B24" s="3"/>
      <c r="C24" s="3"/>
      <c r="D24" s="3" t="s">
        <v>135</v>
      </c>
    </row>
    <row r="25" ht="15.0" customHeight="1">
      <c r="A25" s="3"/>
      <c r="B25" s="3"/>
      <c r="C25" s="3"/>
      <c r="D25" s="3" t="s">
        <v>138</v>
      </c>
    </row>
    <row r="26" ht="15.0" customHeight="1">
      <c r="A26" s="3"/>
      <c r="B26" s="3"/>
      <c r="C26" s="3"/>
      <c r="D26" s="3" t="s">
        <v>141</v>
      </c>
    </row>
    <row r="27" ht="15.75" customHeight="1">
      <c r="A27" s="3"/>
      <c r="B27" s="3"/>
      <c r="C27" s="3"/>
      <c r="D27" s="3"/>
    </row>
    <row r="28" ht="15.75" customHeight="1">
      <c r="A28" s="3"/>
      <c r="B28" s="3"/>
      <c r="C28" s="3"/>
      <c r="D28" s="3"/>
    </row>
    <row r="29" ht="15.75" customHeight="1">
      <c r="A29" s="3"/>
      <c r="B29" s="3"/>
      <c r="C29" s="3"/>
      <c r="D29" s="3"/>
    </row>
    <row r="30" ht="15.75" customHeight="1">
      <c r="A30" s="3"/>
      <c r="B30" s="3"/>
      <c r="C30" s="3"/>
      <c r="D30" s="3"/>
    </row>
    <row r="31" ht="15.75" customHeight="1">
      <c r="A31" s="3"/>
      <c r="B31" s="3"/>
      <c r="C31" s="3"/>
      <c r="D31" s="3"/>
    </row>
    <row r="32" ht="15.75" customHeight="1">
      <c r="A32" s="3"/>
      <c r="B32" s="3"/>
      <c r="C32" s="3"/>
      <c r="D32" s="3"/>
    </row>
    <row r="33" ht="15.75" customHeight="1">
      <c r="A33" s="3"/>
      <c r="B33" s="3"/>
      <c r="C33" s="3"/>
      <c r="D33" s="3"/>
    </row>
    <row r="34" ht="15.75" customHeight="1">
      <c r="A34" s="3"/>
      <c r="B34" s="3"/>
      <c r="C34" s="3"/>
      <c r="D34" s="3"/>
    </row>
    <row r="35" ht="15.75" customHeight="1">
      <c r="A35" s="3"/>
      <c r="B35" s="3"/>
      <c r="C35" s="3"/>
      <c r="D35" s="3"/>
    </row>
    <row r="36" ht="15.75" customHeight="1">
      <c r="A36" s="3"/>
      <c r="B36" s="3"/>
      <c r="C36" s="3"/>
      <c r="D36" s="3"/>
    </row>
    <row r="37" ht="15.75" customHeight="1">
      <c r="A37" s="3"/>
      <c r="B37" s="3"/>
      <c r="C37" s="3"/>
      <c r="D37" s="3"/>
    </row>
    <row r="38" ht="15.75" customHeight="1">
      <c r="A38" s="3"/>
      <c r="B38" s="3"/>
      <c r="C38" s="3"/>
      <c r="D38" s="3"/>
    </row>
    <row r="39" ht="15.0" customHeight="1">
      <c r="A39" s="3"/>
      <c r="B39" s="3"/>
      <c r="C39" s="3"/>
      <c r="D39" s="3"/>
      <c r="F39" s="83" t="s">
        <v>150</v>
      </c>
    </row>
    <row r="40" ht="15.0" customHeight="1">
      <c r="A40" s="3"/>
      <c r="B40" s="3"/>
      <c r="C40" s="3"/>
      <c r="D40" s="3"/>
      <c r="F40" s="3" t="s">
        <v>124</v>
      </c>
      <c r="G40" s="3">
        <v>25.0</v>
      </c>
      <c r="H40" s="3">
        <v>50.0</v>
      </c>
      <c r="I40" s="3">
        <v>100.0</v>
      </c>
    </row>
    <row r="41" ht="15.0" customHeight="1">
      <c r="A41" s="3"/>
      <c r="B41" s="3"/>
      <c r="C41" s="3"/>
      <c r="D41" s="3"/>
      <c r="F41" s="3" t="s">
        <v>127</v>
      </c>
      <c r="G41" s="3">
        <v>10.0</v>
      </c>
      <c r="H41" s="3">
        <v>20.0</v>
      </c>
      <c r="I41" s="3">
        <v>40.0</v>
      </c>
      <c r="J41" s="3">
        <v>60.0</v>
      </c>
    </row>
    <row r="42" ht="15.0" customHeight="1">
      <c r="A42" s="3"/>
      <c r="B42" s="3"/>
      <c r="C42" s="3"/>
      <c r="D42" s="3"/>
      <c r="F42" s="3" t="s">
        <v>130</v>
      </c>
      <c r="G42" s="3">
        <v>5.0</v>
      </c>
      <c r="H42" s="3">
        <v>10.0</v>
      </c>
      <c r="I42" s="3">
        <v>20.0</v>
      </c>
    </row>
    <row r="43" ht="15.0" customHeight="1">
      <c r="A43" s="3"/>
      <c r="B43" s="3"/>
      <c r="C43" s="3"/>
      <c r="D43" s="3"/>
      <c r="F43" s="3" t="s">
        <v>133</v>
      </c>
      <c r="G43" s="3">
        <v>10.0</v>
      </c>
      <c r="H43" s="3">
        <v>20.0</v>
      </c>
      <c r="I43" s="3">
        <v>40.0</v>
      </c>
    </row>
    <row r="44" ht="15.0" customHeight="1">
      <c r="A44" s="3"/>
      <c r="B44" s="3"/>
      <c r="C44" s="3"/>
      <c r="D44" s="3"/>
      <c r="F44" s="3" t="s">
        <v>136</v>
      </c>
      <c r="G44" s="3">
        <v>75.0</v>
      </c>
      <c r="H44" s="3">
        <v>100.0</v>
      </c>
      <c r="I44" s="3">
        <v>150.0</v>
      </c>
      <c r="J44" s="3">
        <v>200.0</v>
      </c>
      <c r="K44" s="3">
        <v>300.0</v>
      </c>
    </row>
    <row r="45" ht="15.0" customHeight="1">
      <c r="A45" s="3"/>
      <c r="B45" s="3"/>
      <c r="C45" s="3"/>
      <c r="D45" s="3"/>
      <c r="F45" s="3" t="s">
        <v>139</v>
      </c>
      <c r="G45" s="3">
        <v>37.5</v>
      </c>
      <c r="H45" s="3">
        <v>75.0</v>
      </c>
      <c r="I45" s="3">
        <v>150.0</v>
      </c>
      <c r="J45" s="3">
        <v>225.0</v>
      </c>
    </row>
    <row r="46" ht="15.0" customHeight="1">
      <c r="A46" s="3"/>
      <c r="B46" s="3"/>
      <c r="C46" s="3"/>
      <c r="D46" s="3"/>
      <c r="F46" s="3" t="s">
        <v>142</v>
      </c>
      <c r="G46" s="3">
        <v>20.0</v>
      </c>
      <c r="H46" s="3">
        <v>30.0</v>
      </c>
      <c r="I46" s="3">
        <v>60.0</v>
      </c>
    </row>
    <row r="47" ht="15.0" customHeight="1">
      <c r="A47" s="3"/>
      <c r="B47" s="3"/>
      <c r="C47" s="3"/>
      <c r="D47" s="3"/>
      <c r="F47" s="3" t="s">
        <v>144</v>
      </c>
      <c r="G47" s="3">
        <v>7.5</v>
      </c>
      <c r="H47" s="3">
        <v>15.0</v>
      </c>
      <c r="I47" s="3">
        <v>30.0</v>
      </c>
      <c r="J47" s="3">
        <v>45.0</v>
      </c>
    </row>
    <row r="48" ht="15.0" customHeight="1">
      <c r="A48" s="3"/>
      <c r="B48" s="3"/>
      <c r="C48" s="3"/>
      <c r="D48" s="3"/>
      <c r="F48" s="3" t="s">
        <v>146</v>
      </c>
      <c r="G48" s="3">
        <v>50.0</v>
      </c>
      <c r="H48" s="3">
        <v>100.0</v>
      </c>
      <c r="I48" s="3">
        <v>150.0</v>
      </c>
      <c r="J48" s="3">
        <v>300.0</v>
      </c>
    </row>
    <row r="49" ht="15.0" customHeight="1">
      <c r="A49" s="3"/>
      <c r="B49" s="3"/>
      <c r="C49" s="3"/>
      <c r="D49" s="3"/>
      <c r="F49" s="3" t="s">
        <v>125</v>
      </c>
      <c r="G49" s="3">
        <v>150.0</v>
      </c>
      <c r="H49" s="3">
        <v>300.0</v>
      </c>
      <c r="I49" s="3">
        <v>450.0</v>
      </c>
      <c r="J49" s="3">
        <v>600.0</v>
      </c>
    </row>
    <row r="50" ht="15.0" customHeight="1">
      <c r="A50" s="3"/>
      <c r="B50" s="3"/>
      <c r="C50" s="3"/>
      <c r="D50" s="3"/>
      <c r="F50" s="3" t="s">
        <v>128</v>
      </c>
      <c r="G50" s="3">
        <v>125.0</v>
      </c>
      <c r="H50" s="3">
        <v>250.0</v>
      </c>
      <c r="I50" s="3">
        <v>500.0</v>
      </c>
    </row>
    <row r="51" ht="15.0" customHeight="1">
      <c r="A51" s="3"/>
      <c r="B51" s="3"/>
      <c r="C51" s="3"/>
      <c r="D51" s="3"/>
      <c r="F51" s="3" t="s">
        <v>131</v>
      </c>
      <c r="G51" s="3">
        <v>25.0</v>
      </c>
      <c r="H51" s="3">
        <v>50.0</v>
      </c>
      <c r="I51" s="3">
        <v>100.0</v>
      </c>
      <c r="J51" s="3">
        <v>150.0</v>
      </c>
      <c r="K51" s="3">
        <v>200.0</v>
      </c>
    </row>
    <row r="52" ht="15.0" customHeight="1">
      <c r="A52" s="3"/>
      <c r="B52" s="3"/>
      <c r="C52" s="3"/>
      <c r="D52" s="3"/>
      <c r="F52" s="3" t="s">
        <v>134</v>
      </c>
      <c r="G52" s="3">
        <v>25.0</v>
      </c>
      <c r="H52" s="3">
        <v>50.0</v>
      </c>
      <c r="I52" s="3">
        <v>100.0</v>
      </c>
      <c r="J52" s="3">
        <v>200.0</v>
      </c>
      <c r="K52" s="3">
        <v>300.0</v>
      </c>
      <c r="L52" s="3">
        <v>400.0</v>
      </c>
    </row>
    <row r="53" ht="15.0" customHeight="1">
      <c r="A53" s="3"/>
      <c r="B53" s="3"/>
      <c r="C53" s="3"/>
      <c r="D53" s="3"/>
      <c r="F53" s="3" t="s">
        <v>137</v>
      </c>
      <c r="G53" s="3">
        <v>2.5</v>
      </c>
      <c r="H53" s="3">
        <v>5.0</v>
      </c>
      <c r="I53" s="3">
        <v>7.5</v>
      </c>
      <c r="J53" s="3">
        <v>10.0</v>
      </c>
      <c r="K53" s="3">
        <v>15.0</v>
      </c>
      <c r="L53" s="3">
        <v>20.0</v>
      </c>
    </row>
    <row r="54" ht="15.0" customHeight="1">
      <c r="A54" s="3"/>
      <c r="B54" s="3"/>
      <c r="C54" s="3"/>
      <c r="D54" s="3"/>
      <c r="F54" s="3" t="s">
        <v>140</v>
      </c>
      <c r="G54" s="3">
        <v>2.0</v>
      </c>
      <c r="H54" s="3">
        <v>5.0</v>
      </c>
      <c r="I54" s="3">
        <v>10.0</v>
      </c>
      <c r="J54" s="3">
        <v>15.0</v>
      </c>
      <c r="K54" s="3">
        <v>20.0</v>
      </c>
      <c r="L54" s="3">
        <v>30.0</v>
      </c>
    </row>
    <row r="55" ht="15.0" customHeight="1">
      <c r="A55" s="3"/>
      <c r="B55" s="3"/>
      <c r="C55" s="3"/>
      <c r="D55" s="3"/>
      <c r="F55" s="3" t="s">
        <v>143</v>
      </c>
      <c r="G55" s="3">
        <v>0.25</v>
      </c>
      <c r="H55" s="3">
        <v>0.5</v>
      </c>
      <c r="I55" s="3">
        <v>1.0</v>
      </c>
      <c r="J55" s="3">
        <v>2.0</v>
      </c>
      <c r="K55" s="3">
        <v>3.0</v>
      </c>
      <c r="L55" s="3">
        <v>4.0</v>
      </c>
    </row>
    <row r="56" ht="15.0" customHeight="1">
      <c r="A56" s="3"/>
      <c r="B56" s="3"/>
      <c r="C56" s="3"/>
      <c r="D56" s="3"/>
      <c r="F56" s="3" t="s">
        <v>145</v>
      </c>
      <c r="G56" s="3">
        <v>100.0</v>
      </c>
      <c r="H56" s="3">
        <v>200.0</v>
      </c>
      <c r="I56" s="3">
        <v>400.0</v>
      </c>
    </row>
    <row r="57" ht="15.0" customHeight="1">
      <c r="A57" s="3"/>
      <c r="B57" s="3"/>
      <c r="C57" s="3"/>
      <c r="D57" s="3"/>
      <c r="F57" s="3" t="s">
        <v>126</v>
      </c>
      <c r="G57" s="3">
        <v>0.25</v>
      </c>
      <c r="H57" s="3">
        <v>0.5</v>
      </c>
      <c r="I57" s="3">
        <v>1.0</v>
      </c>
      <c r="J57" s="3">
        <v>2.0</v>
      </c>
    </row>
    <row r="58" ht="15.0" customHeight="1">
      <c r="A58" s="3"/>
      <c r="B58" s="3"/>
      <c r="C58" s="3"/>
      <c r="D58" s="3"/>
      <c r="F58" s="3" t="s">
        <v>129</v>
      </c>
      <c r="G58" s="3">
        <v>0.5</v>
      </c>
      <c r="H58" s="3">
        <v>1.0</v>
      </c>
      <c r="I58" s="3">
        <v>2.0</v>
      </c>
    </row>
    <row r="59" ht="15.0" customHeight="1">
      <c r="A59" s="3"/>
      <c r="B59" s="3"/>
      <c r="C59" s="3"/>
      <c r="D59" s="3"/>
      <c r="F59" s="3" t="s">
        <v>132</v>
      </c>
      <c r="G59" s="3">
        <v>0.5</v>
      </c>
      <c r="H59" s="3">
        <v>1.0</v>
      </c>
      <c r="I59" s="3">
        <v>2.0</v>
      </c>
    </row>
    <row r="60" ht="15.0" customHeight="1">
      <c r="A60" s="3"/>
      <c r="B60" s="3"/>
      <c r="C60" s="3"/>
      <c r="D60" s="3"/>
      <c r="F60" s="3" t="s">
        <v>135</v>
      </c>
      <c r="G60" s="3">
        <v>5.0</v>
      </c>
      <c r="H60" s="3">
        <v>10.0</v>
      </c>
      <c r="I60" s="3">
        <v>15.0</v>
      </c>
      <c r="J60" s="3">
        <v>30.0</v>
      </c>
    </row>
    <row r="61" ht="15.0" customHeight="1">
      <c r="A61" s="3"/>
      <c r="B61" s="3"/>
      <c r="C61" s="3"/>
      <c r="D61" s="3"/>
      <c r="F61" s="3" t="s">
        <v>138</v>
      </c>
      <c r="G61" s="3">
        <v>10.0</v>
      </c>
      <c r="H61" s="3">
        <v>25.0</v>
      </c>
      <c r="I61" s="3">
        <v>50.0</v>
      </c>
      <c r="J61" s="3">
        <v>100.0</v>
      </c>
    </row>
    <row r="62" ht="15.0" customHeight="1">
      <c r="A62" s="3"/>
      <c r="B62" s="3"/>
      <c r="C62" s="3"/>
      <c r="D62" s="3"/>
      <c r="F62" s="3" t="s">
        <v>141</v>
      </c>
      <c r="G62" s="3">
        <v>2.0</v>
      </c>
      <c r="H62" s="3">
        <v>5.0</v>
      </c>
      <c r="I62" s="3">
        <v>10.0</v>
      </c>
    </row>
    <row r="63" ht="15.75" customHeight="1">
      <c r="A63" s="3"/>
      <c r="B63" s="3"/>
      <c r="C63" s="3"/>
      <c r="D63" s="3"/>
    </row>
    <row r="64" ht="15.75" customHeight="1">
      <c r="A64" s="3"/>
      <c r="B64" s="3"/>
      <c r="C64" s="3"/>
      <c r="D64" s="3"/>
    </row>
    <row r="65" ht="15.75" customHeight="1">
      <c r="A65" s="3"/>
      <c r="B65" s="3"/>
      <c r="C65" s="3"/>
      <c r="D65" s="3"/>
    </row>
    <row r="66" ht="15.75" customHeight="1">
      <c r="A66" s="3"/>
      <c r="B66" s="3"/>
      <c r="C66" s="3"/>
      <c r="D66" s="3"/>
    </row>
    <row r="67" ht="15.75" customHeight="1">
      <c r="A67" s="3"/>
      <c r="B67" s="3"/>
      <c r="C67" s="3"/>
      <c r="D67" s="3"/>
    </row>
    <row r="68" ht="15.75" customHeight="1">
      <c r="A68" s="3"/>
      <c r="B68" s="3"/>
      <c r="C68" s="3"/>
      <c r="D68" s="3"/>
    </row>
    <row r="69" ht="15.75" customHeight="1">
      <c r="A69" s="3"/>
      <c r="B69" s="3"/>
      <c r="C69" s="3"/>
      <c r="D69" s="3"/>
    </row>
    <row r="70" ht="15.75" customHeight="1">
      <c r="A70" s="3"/>
      <c r="B70" s="3"/>
      <c r="C70" s="3"/>
      <c r="D70" s="3"/>
    </row>
    <row r="71" ht="15.75" customHeight="1">
      <c r="A71" s="3"/>
      <c r="B71" s="3"/>
      <c r="C71" s="3"/>
      <c r="D71" s="3"/>
    </row>
    <row r="72" ht="15.75" customHeight="1">
      <c r="A72" s="3"/>
      <c r="B72" s="3"/>
      <c r="C72" s="3"/>
      <c r="D72" s="3"/>
    </row>
    <row r="73" ht="15.75" customHeight="1">
      <c r="A73" s="3"/>
      <c r="B73" s="3"/>
      <c r="C73" s="3"/>
      <c r="D73" s="3"/>
    </row>
    <row r="74" ht="15.75" customHeight="1">
      <c r="A74" s="3"/>
      <c r="B74" s="3"/>
      <c r="C74" s="3"/>
      <c r="D74" s="3"/>
    </row>
    <row r="75" ht="15.75" customHeight="1">
      <c r="A75" s="3"/>
      <c r="B75" s="3"/>
      <c r="C75" s="3"/>
      <c r="D75" s="3"/>
    </row>
    <row r="76" ht="15.75" customHeight="1">
      <c r="A76" s="3"/>
      <c r="B76" s="3"/>
      <c r="C76" s="3"/>
      <c r="D76" s="3"/>
    </row>
    <row r="77" ht="15.75" customHeight="1">
      <c r="A77" s="3"/>
      <c r="B77" s="3"/>
      <c r="C77" s="3"/>
      <c r="D77" s="3"/>
    </row>
    <row r="78" ht="15.75" customHeight="1">
      <c r="A78" s="3"/>
      <c r="B78" s="3"/>
      <c r="C78" s="3"/>
      <c r="D78" s="3"/>
    </row>
    <row r="79" ht="15.75" customHeight="1">
      <c r="A79" s="3"/>
      <c r="B79" s="3"/>
      <c r="C79" s="3"/>
      <c r="D79" s="3"/>
    </row>
    <row r="80" ht="15.75" customHeight="1">
      <c r="A80" s="3"/>
      <c r="B80" s="3"/>
      <c r="C80" s="3"/>
      <c r="D80" s="3"/>
    </row>
    <row r="81" ht="15.75" customHeight="1">
      <c r="A81" s="3"/>
      <c r="B81" s="3"/>
      <c r="C81" s="3"/>
      <c r="D81" s="3"/>
    </row>
    <row r="82" ht="15.75" customHeight="1">
      <c r="A82" s="3"/>
      <c r="B82" s="3"/>
      <c r="C82" s="3"/>
      <c r="D82" s="3"/>
    </row>
    <row r="83" ht="15.75" customHeight="1">
      <c r="A83" s="3"/>
      <c r="B83" s="3"/>
      <c r="C83" s="3"/>
      <c r="D83" s="3"/>
    </row>
    <row r="84" ht="15.75" customHeight="1">
      <c r="A84" s="3"/>
      <c r="B84" s="3"/>
      <c r="C84" s="3"/>
      <c r="D84" s="3"/>
    </row>
    <row r="85" ht="15.75" customHeight="1">
      <c r="A85" s="3"/>
      <c r="B85" s="3"/>
      <c r="C85" s="3"/>
      <c r="D85" s="3"/>
    </row>
    <row r="86" ht="15.75" customHeight="1">
      <c r="A86" s="3"/>
      <c r="B86" s="3"/>
      <c r="C86" s="3"/>
      <c r="D86" s="3"/>
    </row>
    <row r="87" ht="15.75" customHeight="1">
      <c r="A87" s="3"/>
      <c r="B87" s="3"/>
      <c r="C87" s="3"/>
      <c r="D87" s="3"/>
    </row>
    <row r="88" ht="15.75" customHeight="1">
      <c r="A88" s="3"/>
      <c r="B88" s="3"/>
      <c r="C88" s="3"/>
      <c r="D88" s="3"/>
    </row>
    <row r="89" ht="15.75" customHeight="1">
      <c r="A89" s="3"/>
      <c r="B89" s="3"/>
      <c r="C89" s="3"/>
      <c r="D89" s="3"/>
    </row>
    <row r="90" ht="15.75" customHeight="1">
      <c r="A90" s="3"/>
      <c r="B90" s="3"/>
      <c r="C90" s="3"/>
      <c r="D90" s="3"/>
    </row>
    <row r="91" ht="15.75" customHeight="1">
      <c r="A91" s="3"/>
      <c r="B91" s="3"/>
      <c r="C91" s="3"/>
      <c r="D91" s="3"/>
    </row>
    <row r="92" ht="15.75" customHeight="1">
      <c r="A92" s="3"/>
      <c r="B92" s="3"/>
      <c r="C92" s="3"/>
      <c r="D92" s="3"/>
    </row>
    <row r="93" ht="15.75" customHeight="1">
      <c r="A93" s="3"/>
      <c r="B93" s="3"/>
      <c r="C93" s="3"/>
      <c r="D93" s="3"/>
    </row>
    <row r="94" ht="15.75" customHeight="1">
      <c r="A94" s="3"/>
      <c r="B94" s="3"/>
      <c r="C94" s="3"/>
      <c r="D94" s="3"/>
    </row>
    <row r="95" ht="15.75" customHeight="1">
      <c r="A95" s="3"/>
      <c r="B95" s="3"/>
      <c r="C95" s="3"/>
      <c r="D95" s="3"/>
    </row>
    <row r="96" ht="15.75" customHeight="1">
      <c r="A96" s="3"/>
      <c r="B96" s="3"/>
      <c r="C96" s="3"/>
      <c r="D96" s="3"/>
    </row>
    <row r="97" ht="15.75" customHeight="1">
      <c r="A97" s="3"/>
      <c r="B97" s="3"/>
      <c r="C97" s="3"/>
      <c r="D97" s="3"/>
    </row>
    <row r="98" ht="15.75" customHeight="1">
      <c r="A98" s="3"/>
      <c r="B98" s="3"/>
      <c r="C98" s="3"/>
      <c r="D98" s="3"/>
    </row>
    <row r="99" ht="15.75" customHeight="1">
      <c r="A99" s="3"/>
      <c r="B99" s="3"/>
      <c r="C99" s="3"/>
      <c r="D99" s="3"/>
    </row>
    <row r="100" ht="15.75" customHeight="1">
      <c r="A100" s="3"/>
      <c r="B100" s="3"/>
      <c r="C100" s="3"/>
      <c r="D100" s="3"/>
    </row>
    <row r="101" ht="15.75" customHeight="1">
      <c r="A101" s="3"/>
      <c r="B101" s="3"/>
      <c r="C101" s="3"/>
      <c r="D101" s="3"/>
    </row>
    <row r="102" ht="15.75" customHeight="1">
      <c r="A102" s="3"/>
      <c r="B102" s="3"/>
      <c r="C102" s="3"/>
      <c r="D102" s="3"/>
    </row>
    <row r="103" ht="15.75" customHeight="1">
      <c r="A103" s="3"/>
      <c r="B103" s="3"/>
      <c r="C103" s="3"/>
      <c r="D103" s="3"/>
    </row>
    <row r="104" ht="15.75" customHeight="1">
      <c r="A104" s="3"/>
      <c r="B104" s="3"/>
      <c r="C104" s="3"/>
      <c r="D104" s="3"/>
    </row>
    <row r="105" ht="15.75" customHeight="1">
      <c r="A105" s="3"/>
      <c r="B105" s="3"/>
      <c r="C105" s="3"/>
      <c r="D105" s="3"/>
    </row>
    <row r="106" ht="15.75" customHeight="1">
      <c r="A106" s="3"/>
      <c r="B106" s="3"/>
      <c r="C106" s="3"/>
      <c r="D106" s="3"/>
    </row>
    <row r="107" ht="15.75" customHeight="1">
      <c r="A107" s="3"/>
      <c r="B107" s="3"/>
      <c r="C107" s="3"/>
      <c r="D107" s="3"/>
    </row>
    <row r="108" ht="15.75" customHeight="1">
      <c r="A108" s="3"/>
      <c r="B108" s="3"/>
      <c r="C108" s="3"/>
      <c r="D108" s="3"/>
    </row>
    <row r="109" ht="15.75" customHeight="1">
      <c r="A109" s="3"/>
      <c r="B109" s="3"/>
      <c r="C109" s="3"/>
      <c r="D109" s="3"/>
    </row>
    <row r="110" ht="15.75" customHeight="1">
      <c r="A110" s="3"/>
      <c r="B110" s="3"/>
      <c r="C110" s="3"/>
      <c r="D110" s="3"/>
    </row>
    <row r="111" ht="15.75" customHeight="1">
      <c r="A111" s="3"/>
      <c r="B111" s="3"/>
      <c r="C111" s="3"/>
      <c r="D111" s="3"/>
    </row>
    <row r="112" ht="15.75" customHeight="1">
      <c r="A112" s="3"/>
      <c r="B112" s="3"/>
      <c r="C112" s="3"/>
      <c r="D112" s="3"/>
    </row>
    <row r="113" ht="15.75" customHeight="1">
      <c r="A113" s="3"/>
      <c r="B113" s="3"/>
      <c r="C113" s="3"/>
      <c r="D113" s="3"/>
    </row>
    <row r="114" ht="15.75" customHeight="1">
      <c r="A114" s="3"/>
      <c r="B114" s="3"/>
      <c r="C114" s="3"/>
      <c r="D114" s="3"/>
    </row>
    <row r="115" ht="15.75" customHeight="1">
      <c r="A115" s="3"/>
      <c r="B115" s="3"/>
      <c r="C115" s="3"/>
      <c r="D115" s="3"/>
    </row>
    <row r="116" ht="15.75" customHeight="1">
      <c r="A116" s="3"/>
      <c r="B116" s="3"/>
      <c r="C116" s="3"/>
      <c r="D116" s="3"/>
    </row>
    <row r="117" ht="15.75" customHeight="1">
      <c r="A117" s="3"/>
      <c r="B117" s="3"/>
      <c r="C117" s="3"/>
      <c r="D117" s="3"/>
    </row>
    <row r="118" ht="15.75" customHeight="1">
      <c r="A118" s="3"/>
      <c r="B118" s="3"/>
      <c r="C118" s="3"/>
      <c r="D118" s="3"/>
    </row>
    <row r="119" ht="15.75" customHeight="1">
      <c r="A119" s="3"/>
      <c r="B119" s="3"/>
      <c r="C119" s="3"/>
      <c r="D119" s="3"/>
    </row>
    <row r="120" ht="15.75" customHeight="1">
      <c r="A120" s="3"/>
      <c r="B120" s="3"/>
      <c r="C120" s="3"/>
      <c r="D120" s="3"/>
    </row>
    <row r="121" ht="15.75" customHeight="1">
      <c r="A121" s="3"/>
      <c r="B121" s="3"/>
      <c r="C121" s="3"/>
      <c r="D121" s="3"/>
    </row>
    <row r="122" ht="15.75" customHeight="1">
      <c r="A122" s="3"/>
      <c r="B122" s="3"/>
      <c r="C122" s="3"/>
      <c r="D122" s="3"/>
    </row>
    <row r="123" ht="15.75" customHeight="1">
      <c r="A123" s="3"/>
      <c r="B123" s="3"/>
      <c r="C123" s="3"/>
      <c r="D123" s="3"/>
    </row>
    <row r="124" ht="15.75" customHeight="1">
      <c r="A124" s="3"/>
      <c r="B124" s="3"/>
      <c r="C124" s="3"/>
      <c r="D124" s="3"/>
    </row>
    <row r="125" ht="15.75" customHeight="1">
      <c r="A125" s="3"/>
      <c r="B125" s="3"/>
      <c r="C125" s="3"/>
      <c r="D125" s="3"/>
    </row>
    <row r="126" ht="15.75" customHeight="1">
      <c r="A126" s="3"/>
      <c r="B126" s="3"/>
      <c r="C126" s="3"/>
      <c r="D126" s="3"/>
    </row>
    <row r="127" ht="15.75" customHeight="1">
      <c r="A127" s="3"/>
      <c r="B127" s="3"/>
      <c r="C127" s="3"/>
      <c r="D127" s="3"/>
    </row>
    <row r="128" ht="15.75" customHeight="1">
      <c r="A128" s="3"/>
      <c r="B128" s="3"/>
      <c r="C128" s="3"/>
      <c r="D128" s="3"/>
    </row>
    <row r="129" ht="15.75" customHeight="1">
      <c r="A129" s="3"/>
      <c r="B129" s="3"/>
      <c r="C129" s="3"/>
      <c r="D129" s="3"/>
    </row>
    <row r="130" ht="15.75" customHeight="1">
      <c r="A130" s="3"/>
      <c r="B130" s="3"/>
      <c r="C130" s="3"/>
      <c r="D130" s="3"/>
    </row>
    <row r="131" ht="15.75" customHeight="1">
      <c r="A131" s="3"/>
      <c r="B131" s="3"/>
      <c r="C131" s="3"/>
      <c r="D131" s="3"/>
    </row>
    <row r="132" ht="15.75" customHeight="1">
      <c r="A132" s="3"/>
      <c r="B132" s="3"/>
      <c r="C132" s="3"/>
      <c r="D132" s="3"/>
    </row>
    <row r="133" ht="15.75" customHeight="1">
      <c r="A133" s="3"/>
      <c r="B133" s="3"/>
      <c r="C133" s="3"/>
      <c r="D133" s="3"/>
    </row>
    <row r="134" ht="15.75" customHeight="1">
      <c r="A134" s="3"/>
      <c r="B134" s="3"/>
      <c r="C134" s="3"/>
      <c r="D134" s="3"/>
    </row>
    <row r="135" ht="15.75" customHeight="1">
      <c r="A135" s="3"/>
      <c r="B135" s="3"/>
      <c r="C135" s="3"/>
      <c r="D135" s="3"/>
    </row>
    <row r="136" ht="15.75" customHeight="1">
      <c r="A136" s="3"/>
      <c r="B136" s="3"/>
      <c r="C136" s="3"/>
      <c r="D136" s="3"/>
    </row>
    <row r="137" ht="15.75" customHeight="1">
      <c r="A137" s="3"/>
      <c r="B137" s="3"/>
      <c r="C137" s="3"/>
      <c r="D137" s="3"/>
    </row>
    <row r="138" ht="15.75" customHeight="1">
      <c r="A138" s="3"/>
      <c r="B138" s="3"/>
      <c r="C138" s="3"/>
      <c r="D138" s="3"/>
    </row>
    <row r="139" ht="15.75" customHeight="1">
      <c r="A139" s="3"/>
      <c r="B139" s="3"/>
      <c r="C139" s="3"/>
      <c r="D139" s="3"/>
    </row>
    <row r="140" ht="15.75" customHeight="1">
      <c r="A140" s="3"/>
      <c r="B140" s="3"/>
      <c r="C140" s="3"/>
      <c r="D140" s="3"/>
    </row>
    <row r="141" ht="15.75" customHeight="1">
      <c r="A141" s="3"/>
      <c r="B141" s="3"/>
      <c r="C141" s="3"/>
      <c r="D141" s="3"/>
    </row>
    <row r="142" ht="15.75" customHeight="1">
      <c r="A142" s="3"/>
      <c r="B142" s="3"/>
      <c r="C142" s="3"/>
      <c r="D142" s="3"/>
    </row>
    <row r="143" ht="15.75" customHeight="1">
      <c r="A143" s="3"/>
      <c r="B143" s="3"/>
      <c r="C143" s="3"/>
      <c r="D143" s="3"/>
    </row>
    <row r="144" ht="15.75" customHeight="1">
      <c r="A144" s="3"/>
      <c r="B144" s="3"/>
      <c r="C144" s="3"/>
      <c r="D144" s="3"/>
    </row>
    <row r="145" ht="15.75" customHeight="1">
      <c r="A145" s="3"/>
      <c r="B145" s="3"/>
      <c r="C145" s="3"/>
      <c r="D145" s="3"/>
    </row>
    <row r="146" ht="15.75" customHeight="1">
      <c r="A146" s="3"/>
      <c r="B146" s="3"/>
      <c r="C146" s="3"/>
      <c r="D146" s="3"/>
    </row>
    <row r="147" ht="15.75" customHeight="1">
      <c r="A147" s="3"/>
      <c r="B147" s="3"/>
      <c r="C147" s="3"/>
      <c r="D147" s="3"/>
    </row>
    <row r="148" ht="15.75" customHeight="1">
      <c r="A148" s="3"/>
      <c r="B148" s="3"/>
      <c r="C148" s="3"/>
      <c r="D148" s="3"/>
    </row>
    <row r="149" ht="15.75" customHeight="1">
      <c r="A149" s="3"/>
      <c r="B149" s="3"/>
      <c r="C149" s="3"/>
      <c r="D149" s="3"/>
    </row>
    <row r="150" ht="15.75" customHeight="1">
      <c r="A150" s="3"/>
      <c r="B150" s="3"/>
      <c r="C150" s="3"/>
      <c r="D150" s="3"/>
    </row>
    <row r="151" ht="15.75" customHeight="1">
      <c r="A151" s="3"/>
      <c r="B151" s="3"/>
      <c r="C151" s="3"/>
      <c r="D151" s="3"/>
    </row>
    <row r="152" ht="15.75" customHeight="1">
      <c r="A152" s="3"/>
      <c r="B152" s="3"/>
      <c r="C152" s="3"/>
      <c r="D152" s="3"/>
    </row>
    <row r="153" ht="15.75" customHeight="1">
      <c r="A153" s="3"/>
      <c r="B153" s="3"/>
      <c r="C153" s="3"/>
      <c r="D153" s="3"/>
    </row>
    <row r="154" ht="15.75" customHeight="1">
      <c r="A154" s="3"/>
      <c r="B154" s="3"/>
      <c r="C154" s="3"/>
      <c r="D154" s="3"/>
    </row>
    <row r="155" ht="15.75" customHeight="1">
      <c r="A155" s="3"/>
      <c r="B155" s="3"/>
      <c r="C155" s="3"/>
      <c r="D155" s="3"/>
    </row>
    <row r="156" ht="15.75" customHeight="1">
      <c r="A156" s="3"/>
      <c r="B156" s="3"/>
      <c r="C156" s="3"/>
      <c r="D156" s="3"/>
    </row>
    <row r="157" ht="15.75" customHeight="1">
      <c r="A157" s="3"/>
      <c r="B157" s="3"/>
      <c r="C157" s="3"/>
      <c r="D157" s="3"/>
    </row>
    <row r="158" ht="15.75" customHeight="1">
      <c r="A158" s="3"/>
      <c r="B158" s="3"/>
      <c r="C158" s="3"/>
      <c r="D158" s="3"/>
    </row>
    <row r="159" ht="15.75" customHeight="1">
      <c r="A159" s="3"/>
      <c r="B159" s="3"/>
      <c r="C159" s="3"/>
      <c r="D159" s="3"/>
    </row>
    <row r="160" ht="15.75" customHeight="1">
      <c r="A160" s="3"/>
      <c r="B160" s="3"/>
      <c r="C160" s="3"/>
      <c r="D160" s="3"/>
    </row>
    <row r="161" ht="15.75" customHeight="1">
      <c r="A161" s="3"/>
      <c r="B161" s="3"/>
      <c r="C161" s="3"/>
      <c r="D161" s="3"/>
    </row>
    <row r="162" ht="15.75" customHeight="1">
      <c r="A162" s="3"/>
      <c r="B162" s="3"/>
      <c r="C162" s="3"/>
      <c r="D162" s="3"/>
    </row>
    <row r="163" ht="15.75" customHeight="1">
      <c r="A163" s="3"/>
      <c r="B163" s="3"/>
      <c r="C163" s="3"/>
      <c r="D163" s="3"/>
    </row>
    <row r="164" ht="15.75" customHeight="1">
      <c r="A164" s="3"/>
      <c r="B164" s="3"/>
      <c r="C164" s="3"/>
      <c r="D164" s="3"/>
    </row>
    <row r="165" ht="15.75" customHeight="1">
      <c r="A165" s="3"/>
      <c r="B165" s="3"/>
      <c r="C165" s="3"/>
      <c r="D165" s="3"/>
    </row>
    <row r="166" ht="15.75" customHeight="1">
      <c r="A166" s="3"/>
      <c r="B166" s="3"/>
      <c r="C166" s="3"/>
      <c r="D166" s="3"/>
    </row>
    <row r="167" ht="15.75" customHeight="1">
      <c r="A167" s="3"/>
      <c r="B167" s="3"/>
      <c r="C167" s="3"/>
      <c r="D167" s="3"/>
    </row>
    <row r="168" ht="15.75" customHeight="1">
      <c r="A168" s="3"/>
      <c r="B168" s="3"/>
      <c r="C168" s="3"/>
      <c r="D168" s="3"/>
    </row>
    <row r="169" ht="15.75" customHeight="1">
      <c r="A169" s="3"/>
      <c r="B169" s="3"/>
      <c r="C169" s="3"/>
      <c r="D169" s="3"/>
    </row>
    <row r="170" ht="15.75" customHeight="1">
      <c r="A170" s="3"/>
      <c r="B170" s="3"/>
      <c r="C170" s="3"/>
      <c r="D170" s="3"/>
    </row>
    <row r="171" ht="15.75" customHeight="1">
      <c r="A171" s="3"/>
      <c r="B171" s="3"/>
      <c r="C171" s="3"/>
      <c r="D171" s="3"/>
    </row>
    <row r="172" ht="15.75" customHeight="1">
      <c r="A172" s="3"/>
      <c r="B172" s="3"/>
      <c r="C172" s="3"/>
      <c r="D172" s="3"/>
    </row>
    <row r="173" ht="15.75" customHeight="1">
      <c r="A173" s="3"/>
      <c r="B173" s="3"/>
      <c r="C173" s="3"/>
      <c r="D173" s="3"/>
    </row>
    <row r="174" ht="15.75" customHeight="1">
      <c r="A174" s="3"/>
      <c r="B174" s="3"/>
      <c r="C174" s="3"/>
      <c r="D174" s="3"/>
    </row>
    <row r="175" ht="15.75" customHeight="1">
      <c r="A175" s="3"/>
      <c r="B175" s="3"/>
      <c r="C175" s="3"/>
      <c r="D175" s="3"/>
    </row>
    <row r="176" ht="15.75" customHeight="1">
      <c r="A176" s="3"/>
      <c r="B176" s="3"/>
      <c r="C176" s="3"/>
      <c r="D176" s="3"/>
    </row>
    <row r="177" ht="15.75" customHeight="1">
      <c r="A177" s="3"/>
      <c r="B177" s="3"/>
      <c r="C177" s="3"/>
      <c r="D177" s="3"/>
    </row>
    <row r="178" ht="15.75" customHeight="1">
      <c r="A178" s="3"/>
      <c r="B178" s="3"/>
      <c r="C178" s="3"/>
      <c r="D178" s="3"/>
    </row>
    <row r="179" ht="15.75" customHeight="1">
      <c r="A179" s="3"/>
      <c r="B179" s="3"/>
      <c r="C179" s="3"/>
      <c r="D179" s="3"/>
    </row>
    <row r="180" ht="15.75" customHeight="1">
      <c r="A180" s="3"/>
      <c r="B180" s="3"/>
      <c r="C180" s="3"/>
      <c r="D180" s="3"/>
    </row>
    <row r="181" ht="15.75" customHeight="1">
      <c r="A181" s="3"/>
      <c r="B181" s="3"/>
      <c r="C181" s="3"/>
      <c r="D181" s="3"/>
    </row>
    <row r="182" ht="15.75" customHeight="1">
      <c r="A182" s="3"/>
      <c r="B182" s="3"/>
      <c r="C182" s="3"/>
      <c r="D182" s="3"/>
    </row>
    <row r="183" ht="15.75" customHeight="1">
      <c r="A183" s="3"/>
      <c r="B183" s="3"/>
      <c r="C183" s="3"/>
      <c r="D183" s="3"/>
    </row>
    <row r="184" ht="15.75" customHeight="1">
      <c r="A184" s="3"/>
      <c r="B184" s="3"/>
      <c r="C184" s="3"/>
      <c r="D184" s="3"/>
    </row>
    <row r="185" ht="15.75" customHeight="1">
      <c r="A185" s="3"/>
      <c r="B185" s="3"/>
      <c r="C185" s="3"/>
      <c r="D185" s="3"/>
    </row>
    <row r="186" ht="15.75" customHeight="1">
      <c r="A186" s="3"/>
      <c r="B186" s="3"/>
      <c r="C186" s="3"/>
      <c r="D186" s="3"/>
    </row>
    <row r="187" ht="15.75" customHeight="1">
      <c r="A187" s="3"/>
      <c r="B187" s="3"/>
      <c r="C187" s="3"/>
      <c r="D187" s="3"/>
    </row>
    <row r="188" ht="15.75" customHeight="1">
      <c r="A188" s="3"/>
      <c r="B188" s="3"/>
      <c r="C188" s="3"/>
      <c r="D188" s="3"/>
    </row>
    <row r="189" ht="15.75" customHeight="1">
      <c r="A189" s="3"/>
      <c r="B189" s="3"/>
      <c r="C189" s="3"/>
      <c r="D189" s="3"/>
    </row>
    <row r="190" ht="15.75" customHeight="1">
      <c r="A190" s="3"/>
      <c r="B190" s="3"/>
      <c r="C190" s="3"/>
      <c r="D190" s="3"/>
    </row>
    <row r="191" ht="15.75" customHeight="1">
      <c r="A191" s="3"/>
      <c r="B191" s="3"/>
      <c r="C191" s="3"/>
      <c r="D191" s="3"/>
    </row>
    <row r="192" ht="15.75" customHeight="1">
      <c r="A192" s="3"/>
      <c r="B192" s="3"/>
      <c r="C192" s="3"/>
      <c r="D192" s="3"/>
    </row>
    <row r="193" ht="15.75" customHeight="1">
      <c r="A193" s="3"/>
      <c r="B193" s="3"/>
      <c r="C193" s="3"/>
      <c r="D193" s="3"/>
    </row>
    <row r="194" ht="15.75" customHeight="1">
      <c r="A194" s="3"/>
      <c r="B194" s="3"/>
      <c r="C194" s="3"/>
      <c r="D194" s="3"/>
    </row>
    <row r="195" ht="15.75" customHeight="1">
      <c r="A195" s="3"/>
      <c r="B195" s="3"/>
      <c r="C195" s="3"/>
      <c r="D195" s="3"/>
    </row>
    <row r="196" ht="15.75" customHeight="1">
      <c r="A196" s="3"/>
      <c r="B196" s="3"/>
      <c r="C196" s="3"/>
      <c r="D196" s="3"/>
    </row>
    <row r="197" ht="15.75" customHeight="1">
      <c r="A197" s="3"/>
      <c r="B197" s="3"/>
      <c r="C197" s="3"/>
      <c r="D197" s="3"/>
    </row>
    <row r="198" ht="15.75" customHeight="1">
      <c r="A198" s="3"/>
      <c r="B198" s="3"/>
      <c r="C198" s="3"/>
      <c r="D198" s="3"/>
    </row>
    <row r="199" ht="15.75" customHeight="1">
      <c r="A199" s="3"/>
      <c r="B199" s="3"/>
      <c r="C199" s="3"/>
      <c r="D199" s="3"/>
    </row>
    <row r="200" ht="15.75" customHeight="1">
      <c r="A200" s="3"/>
      <c r="B200" s="3"/>
      <c r="C200" s="3"/>
      <c r="D200" s="3"/>
    </row>
    <row r="201" ht="15.75" customHeight="1">
      <c r="A201" s="3"/>
      <c r="B201" s="3"/>
      <c r="C201" s="3"/>
      <c r="D201" s="3"/>
    </row>
    <row r="202" ht="15.75" customHeight="1">
      <c r="A202" s="3"/>
      <c r="B202" s="3"/>
      <c r="C202" s="3"/>
      <c r="D202" s="3"/>
    </row>
    <row r="203" ht="15.75" customHeight="1">
      <c r="A203" s="3"/>
      <c r="B203" s="3"/>
      <c r="C203" s="3"/>
      <c r="D203" s="3"/>
    </row>
    <row r="204" ht="15.75" customHeight="1">
      <c r="A204" s="3"/>
      <c r="B204" s="3"/>
      <c r="C204" s="3"/>
      <c r="D204" s="3"/>
    </row>
    <row r="205" ht="15.75" customHeight="1">
      <c r="A205" s="3"/>
      <c r="B205" s="3"/>
      <c r="C205" s="3"/>
      <c r="D205" s="3"/>
    </row>
    <row r="206" ht="15.75" customHeight="1">
      <c r="A206" s="3"/>
      <c r="B206" s="3"/>
      <c r="C206" s="3"/>
      <c r="D206" s="3"/>
    </row>
    <row r="207" ht="15.75" customHeight="1">
      <c r="A207" s="3"/>
      <c r="B207" s="3"/>
      <c r="C207" s="3"/>
      <c r="D207" s="3"/>
    </row>
    <row r="208" ht="15.75" customHeight="1">
      <c r="A208" s="3"/>
      <c r="B208" s="3"/>
      <c r="C208" s="3"/>
      <c r="D208" s="3"/>
    </row>
    <row r="209" ht="15.75" customHeight="1">
      <c r="A209" s="3"/>
      <c r="B209" s="3"/>
      <c r="C209" s="3"/>
      <c r="D209" s="3"/>
    </row>
    <row r="210" ht="15.75" customHeight="1">
      <c r="A210" s="3"/>
      <c r="B210" s="3"/>
      <c r="C210" s="3"/>
      <c r="D210" s="3"/>
    </row>
    <row r="211" ht="15.75" customHeight="1">
      <c r="A211" s="3"/>
      <c r="B211" s="3"/>
      <c r="C211" s="3"/>
      <c r="D211" s="3"/>
    </row>
    <row r="212" ht="15.75" customHeight="1">
      <c r="A212" s="3"/>
      <c r="B212" s="3"/>
      <c r="C212" s="3"/>
      <c r="D212" s="3"/>
    </row>
    <row r="213" ht="15.75" customHeight="1">
      <c r="A213" s="3"/>
      <c r="B213" s="3"/>
      <c r="C213" s="3"/>
      <c r="D213" s="3"/>
    </row>
    <row r="214" ht="15.75" customHeight="1">
      <c r="A214" s="3"/>
      <c r="B214" s="3"/>
      <c r="C214" s="3"/>
      <c r="D214" s="3"/>
    </row>
    <row r="215" ht="15.75" customHeight="1">
      <c r="A215" s="3"/>
      <c r="B215" s="3"/>
      <c r="C215" s="3"/>
      <c r="D215" s="3"/>
    </row>
    <row r="216" ht="15.75" customHeight="1">
      <c r="A216" s="3"/>
      <c r="B216" s="3"/>
      <c r="C216" s="3"/>
      <c r="D216" s="3"/>
    </row>
    <row r="217" ht="15.75" customHeight="1">
      <c r="A217" s="3"/>
      <c r="B217" s="3"/>
      <c r="C217" s="3"/>
      <c r="D217" s="3"/>
    </row>
    <row r="218" ht="15.75" customHeight="1">
      <c r="A218" s="3"/>
      <c r="B218" s="3"/>
      <c r="C218" s="3"/>
      <c r="D218" s="3"/>
    </row>
    <row r="219" ht="15.75" customHeight="1">
      <c r="A219" s="3"/>
      <c r="B219" s="3"/>
      <c r="C219" s="3"/>
      <c r="D219" s="3"/>
    </row>
    <row r="220" ht="15.75" customHeight="1">
      <c r="A220" s="3"/>
      <c r="B220" s="3"/>
      <c r="C220" s="3"/>
      <c r="D220" s="3"/>
    </row>
    <row r="221" ht="15.75" customHeight="1">
      <c r="A221" s="3"/>
      <c r="B221" s="3"/>
      <c r="C221" s="3"/>
      <c r="D221" s="3"/>
    </row>
    <row r="222" ht="15.75" customHeight="1">
      <c r="A222" s="3"/>
      <c r="B222" s="3"/>
      <c r="C222" s="3"/>
      <c r="D222" s="3"/>
    </row>
    <row r="223" ht="15.75" customHeight="1">
      <c r="A223" s="3"/>
      <c r="B223" s="3"/>
      <c r="C223" s="3"/>
      <c r="D223" s="3"/>
    </row>
    <row r="224" ht="15.75" customHeight="1">
      <c r="A224" s="3"/>
      <c r="B224" s="3"/>
      <c r="C224" s="3"/>
      <c r="D224" s="3"/>
    </row>
    <row r="225" ht="15.75" customHeight="1">
      <c r="A225" s="3"/>
      <c r="B225" s="3"/>
      <c r="C225" s="3"/>
      <c r="D225" s="3"/>
    </row>
    <row r="226" ht="15.75" customHeight="1">
      <c r="A226" s="3"/>
      <c r="B226" s="3"/>
      <c r="C226" s="3"/>
      <c r="D226" s="3"/>
    </row>
    <row r="227" ht="15.75" customHeight="1">
      <c r="A227" s="3"/>
      <c r="B227" s="3"/>
      <c r="C227" s="3"/>
      <c r="D227" s="3"/>
    </row>
    <row r="228" ht="15.75" customHeight="1">
      <c r="A228" s="3"/>
      <c r="B228" s="3"/>
      <c r="C228" s="3"/>
      <c r="D228" s="3"/>
    </row>
    <row r="229" ht="15.75" customHeight="1">
      <c r="A229" s="3"/>
      <c r="B229" s="3"/>
      <c r="C229" s="3"/>
      <c r="D229" s="3"/>
    </row>
    <row r="230" ht="15.75" customHeight="1">
      <c r="A230" s="3"/>
      <c r="B230" s="3"/>
      <c r="C230" s="3"/>
      <c r="D230" s="3"/>
    </row>
    <row r="231" ht="15.75" customHeight="1">
      <c r="A231" s="3"/>
      <c r="B231" s="3"/>
      <c r="C231" s="3"/>
      <c r="D231" s="3"/>
    </row>
    <row r="232" ht="15.75" customHeight="1">
      <c r="A232" s="3"/>
      <c r="B232" s="3"/>
      <c r="C232" s="3"/>
      <c r="D232" s="3"/>
    </row>
    <row r="233" ht="15.75" customHeight="1">
      <c r="A233" s="3"/>
      <c r="B233" s="3"/>
      <c r="C233" s="3"/>
      <c r="D233" s="3"/>
    </row>
    <row r="234" ht="15.75" customHeight="1">
      <c r="A234" s="3"/>
      <c r="B234" s="3"/>
      <c r="C234" s="3"/>
      <c r="D234" s="3"/>
    </row>
    <row r="235" ht="15.75" customHeight="1">
      <c r="A235" s="3"/>
      <c r="B235" s="3"/>
      <c r="C235" s="3"/>
      <c r="D235" s="3"/>
    </row>
    <row r="236" ht="15.75" customHeight="1">
      <c r="A236" s="3"/>
      <c r="B236" s="3"/>
      <c r="C236" s="3"/>
      <c r="D236" s="3"/>
    </row>
    <row r="237" ht="15.75" customHeight="1">
      <c r="A237" s="3"/>
      <c r="B237" s="3"/>
      <c r="C237" s="3"/>
      <c r="D237" s="3"/>
    </row>
    <row r="238" ht="15.75" customHeight="1">
      <c r="A238" s="3"/>
      <c r="B238" s="3"/>
      <c r="C238" s="3"/>
      <c r="D238" s="3"/>
    </row>
    <row r="239" ht="15.75" customHeight="1">
      <c r="A239" s="3"/>
      <c r="B239" s="3"/>
      <c r="C239" s="3"/>
      <c r="D239" s="3"/>
    </row>
    <row r="240" ht="15.75" customHeight="1">
      <c r="A240" s="3"/>
      <c r="B240" s="3"/>
      <c r="C240" s="3"/>
      <c r="D240" s="3"/>
    </row>
    <row r="241" ht="15.75" customHeight="1">
      <c r="A241" s="3"/>
      <c r="B241" s="3"/>
      <c r="C241" s="3"/>
      <c r="D241" s="3"/>
    </row>
    <row r="242" ht="15.75" customHeight="1">
      <c r="A242" s="3"/>
      <c r="B242" s="3"/>
      <c r="C242" s="3"/>
      <c r="D242" s="3"/>
    </row>
    <row r="243" ht="15.75" customHeight="1">
      <c r="A243" s="3"/>
      <c r="B243" s="3"/>
      <c r="C243" s="3"/>
      <c r="D243" s="3"/>
    </row>
    <row r="244" ht="15.75" customHeight="1">
      <c r="A244" s="3"/>
      <c r="B244" s="3"/>
      <c r="C244" s="3"/>
      <c r="D244" s="3"/>
    </row>
    <row r="245" ht="15.75" customHeight="1">
      <c r="A245" s="3"/>
      <c r="B245" s="3"/>
      <c r="C245" s="3"/>
      <c r="D245" s="3"/>
    </row>
    <row r="246" ht="15.75" customHeight="1">
      <c r="A246" s="3"/>
      <c r="B246" s="3"/>
      <c r="C246" s="3"/>
      <c r="D246" s="3"/>
    </row>
    <row r="247" ht="15.75" customHeight="1">
      <c r="A247" s="3"/>
      <c r="B247" s="3"/>
      <c r="C247" s="3"/>
      <c r="D247" s="3"/>
    </row>
    <row r="248" ht="15.75" customHeight="1">
      <c r="A248" s="3"/>
      <c r="B248" s="3"/>
      <c r="C248" s="3"/>
      <c r="D248" s="3"/>
    </row>
    <row r="249" ht="15.75" customHeight="1">
      <c r="A249" s="3"/>
      <c r="B249" s="3"/>
      <c r="C249" s="3"/>
      <c r="D249" s="3"/>
    </row>
    <row r="250" ht="15.75" customHeight="1">
      <c r="A250" s="3"/>
      <c r="B250" s="3"/>
      <c r="C250" s="3"/>
      <c r="D250" s="3"/>
    </row>
    <row r="251" ht="15.75" customHeight="1">
      <c r="A251" s="3"/>
      <c r="B251" s="3"/>
      <c r="C251" s="3"/>
      <c r="D251" s="3"/>
    </row>
    <row r="252" ht="15.75" customHeight="1">
      <c r="A252" s="3"/>
      <c r="B252" s="3"/>
      <c r="C252" s="3"/>
      <c r="D252" s="3"/>
    </row>
    <row r="253" ht="15.75" customHeight="1">
      <c r="A253" s="3"/>
      <c r="B253" s="3"/>
      <c r="C253" s="3"/>
      <c r="D253" s="3"/>
    </row>
    <row r="254" ht="15.75" customHeight="1">
      <c r="A254" s="3"/>
      <c r="B254" s="3"/>
      <c r="C254" s="3"/>
      <c r="D254" s="3"/>
    </row>
    <row r="255" ht="15.75" customHeight="1">
      <c r="A255" s="3"/>
      <c r="B255" s="3"/>
      <c r="C255" s="3"/>
      <c r="D255" s="3"/>
    </row>
    <row r="256" ht="15.75" customHeight="1">
      <c r="A256" s="3"/>
      <c r="B256" s="3"/>
      <c r="C256" s="3"/>
      <c r="D256" s="3"/>
    </row>
    <row r="257" ht="15.75" customHeight="1">
      <c r="A257" s="3"/>
      <c r="B257" s="3"/>
      <c r="C257" s="3"/>
      <c r="D257" s="3"/>
    </row>
    <row r="258" ht="15.75" customHeight="1">
      <c r="A258" s="3"/>
      <c r="B258" s="3"/>
      <c r="C258" s="3"/>
      <c r="D258" s="3"/>
    </row>
    <row r="259" ht="15.75" customHeight="1">
      <c r="A259" s="3"/>
      <c r="B259" s="3"/>
      <c r="C259" s="3"/>
      <c r="D259" s="3"/>
    </row>
    <row r="260" ht="15.75" customHeight="1">
      <c r="A260" s="3"/>
      <c r="B260" s="3"/>
      <c r="C260" s="3"/>
      <c r="D260" s="3"/>
    </row>
    <row r="261" ht="15.75" customHeight="1">
      <c r="A261" s="3"/>
      <c r="B261" s="3"/>
      <c r="C261" s="3"/>
      <c r="D261" s="3"/>
    </row>
    <row r="262" ht="15.75" customHeight="1">
      <c r="A262" s="3"/>
      <c r="B262" s="3"/>
      <c r="C262" s="3"/>
      <c r="D262" s="3"/>
    </row>
    <row r="263" ht="15.75" customHeight="1">
      <c r="A263" s="3"/>
      <c r="B263" s="3"/>
      <c r="C263" s="3"/>
      <c r="D263" s="3"/>
    </row>
    <row r="264" ht="15.75" customHeight="1">
      <c r="A264" s="3"/>
      <c r="B264" s="3"/>
      <c r="C264" s="3"/>
      <c r="D264" s="3"/>
    </row>
    <row r="265" ht="15.75" customHeight="1">
      <c r="A265" s="3"/>
      <c r="B265" s="3"/>
      <c r="C265" s="3"/>
      <c r="D265" s="3"/>
    </row>
    <row r="266" ht="15.75" customHeight="1">
      <c r="A266" s="3"/>
      <c r="B266" s="3"/>
      <c r="C266" s="3"/>
      <c r="D266" s="3"/>
    </row>
    <row r="267" ht="15.75" customHeight="1">
      <c r="A267" s="3"/>
      <c r="B267" s="3"/>
      <c r="C267" s="3"/>
      <c r="D267" s="3"/>
    </row>
    <row r="268" ht="15.75" customHeight="1">
      <c r="A268" s="3"/>
      <c r="B268" s="3"/>
      <c r="C268" s="3"/>
      <c r="D268" s="3"/>
    </row>
    <row r="269" ht="15.75" customHeight="1">
      <c r="A269" s="3"/>
      <c r="B269" s="3"/>
      <c r="C269" s="3"/>
      <c r="D269" s="3"/>
    </row>
    <row r="270" ht="15.75" customHeight="1">
      <c r="A270" s="3"/>
      <c r="B270" s="3"/>
      <c r="C270" s="3"/>
      <c r="D270" s="3"/>
    </row>
    <row r="271" ht="15.75" customHeight="1">
      <c r="A271" s="3"/>
      <c r="B271" s="3"/>
      <c r="C271" s="3"/>
      <c r="D271" s="3"/>
    </row>
    <row r="272" ht="15.75" customHeight="1">
      <c r="A272" s="3"/>
      <c r="B272" s="3"/>
      <c r="C272" s="3"/>
      <c r="D272" s="3"/>
    </row>
    <row r="273" ht="15.75" customHeight="1">
      <c r="A273" s="3"/>
      <c r="B273" s="3"/>
      <c r="C273" s="3"/>
      <c r="D273" s="3"/>
    </row>
    <row r="274" ht="15.75" customHeight="1">
      <c r="A274" s="3"/>
      <c r="B274" s="3"/>
      <c r="C274" s="3"/>
      <c r="D274" s="3"/>
    </row>
    <row r="275" ht="15.75" customHeight="1">
      <c r="A275" s="3"/>
      <c r="B275" s="3"/>
      <c r="C275" s="3"/>
      <c r="D275" s="3"/>
    </row>
    <row r="276" ht="15.75" customHeight="1">
      <c r="A276" s="3"/>
      <c r="B276" s="3"/>
      <c r="C276" s="3"/>
      <c r="D276" s="3"/>
    </row>
    <row r="277" ht="15.75" customHeight="1">
      <c r="A277" s="3"/>
      <c r="B277" s="3"/>
      <c r="C277" s="3"/>
      <c r="D277" s="3"/>
    </row>
    <row r="278" ht="15.75" customHeight="1">
      <c r="A278" s="3"/>
      <c r="B278" s="3"/>
      <c r="C278" s="3"/>
      <c r="D278" s="3"/>
    </row>
    <row r="279" ht="15.75" customHeight="1">
      <c r="A279" s="3"/>
      <c r="B279" s="3"/>
      <c r="C279" s="3"/>
      <c r="D279" s="3"/>
    </row>
    <row r="280" ht="15.75" customHeight="1">
      <c r="A280" s="3"/>
      <c r="B280" s="3"/>
      <c r="C280" s="3"/>
      <c r="D280" s="3"/>
    </row>
    <row r="281" ht="15.75" customHeight="1">
      <c r="A281" s="3"/>
      <c r="B281" s="3"/>
      <c r="C281" s="3"/>
      <c r="D281" s="3"/>
    </row>
    <row r="282" ht="15.75" customHeight="1">
      <c r="A282" s="3"/>
      <c r="B282" s="3"/>
      <c r="C282" s="3"/>
      <c r="D282" s="3"/>
    </row>
    <row r="283" ht="15.75" customHeight="1">
      <c r="A283" s="3"/>
      <c r="B283" s="3"/>
      <c r="C283" s="3"/>
      <c r="D283" s="3"/>
    </row>
    <row r="284" ht="15.75" customHeight="1">
      <c r="A284" s="3"/>
      <c r="B284" s="3"/>
      <c r="C284" s="3"/>
      <c r="D284" s="3"/>
    </row>
    <row r="285" ht="15.75" customHeight="1">
      <c r="A285" s="3"/>
      <c r="B285" s="3"/>
      <c r="C285" s="3"/>
      <c r="D285" s="3"/>
    </row>
    <row r="286" ht="15.75" customHeight="1">
      <c r="A286" s="3"/>
      <c r="B286" s="3"/>
      <c r="C286" s="3"/>
      <c r="D286" s="3"/>
    </row>
    <row r="287" ht="15.75" customHeight="1">
      <c r="A287" s="3"/>
      <c r="B287" s="3"/>
      <c r="C287" s="3"/>
      <c r="D287" s="3"/>
    </row>
    <row r="288" ht="15.75" customHeight="1">
      <c r="A288" s="3"/>
      <c r="B288" s="3"/>
      <c r="C288" s="3"/>
      <c r="D288" s="3"/>
    </row>
    <row r="289" ht="15.75" customHeight="1">
      <c r="A289" s="3"/>
      <c r="B289" s="3"/>
      <c r="C289" s="3"/>
      <c r="D289" s="3"/>
    </row>
    <row r="290" ht="15.75" customHeight="1">
      <c r="A290" s="3"/>
      <c r="B290" s="3"/>
      <c r="C290" s="3"/>
      <c r="D290" s="3"/>
    </row>
    <row r="291" ht="15.75" customHeight="1">
      <c r="A291" s="3"/>
      <c r="B291" s="3"/>
      <c r="C291" s="3"/>
      <c r="D291" s="3"/>
    </row>
    <row r="292" ht="15.75" customHeight="1">
      <c r="A292" s="3"/>
      <c r="B292" s="3"/>
      <c r="C292" s="3"/>
      <c r="D292" s="3"/>
    </row>
    <row r="293" ht="15.75" customHeight="1">
      <c r="A293" s="3"/>
      <c r="B293" s="3"/>
      <c r="C293" s="3"/>
      <c r="D293" s="3"/>
    </row>
    <row r="294" ht="15.75" customHeight="1">
      <c r="A294" s="3"/>
      <c r="B294" s="3"/>
      <c r="C294" s="3"/>
      <c r="D294" s="3"/>
    </row>
    <row r="295" ht="15.75" customHeight="1">
      <c r="A295" s="3"/>
      <c r="B295" s="3"/>
      <c r="C295" s="3"/>
      <c r="D295" s="3"/>
    </row>
    <row r="296" ht="15.75" customHeight="1">
      <c r="A296" s="3"/>
      <c r="B296" s="3"/>
      <c r="C296" s="3"/>
      <c r="D296" s="3"/>
    </row>
    <row r="297" ht="15.75" customHeight="1">
      <c r="A297" s="3"/>
      <c r="B297" s="3"/>
      <c r="C297" s="3"/>
      <c r="D297" s="3"/>
    </row>
    <row r="298" ht="15.75" customHeight="1">
      <c r="A298" s="3"/>
      <c r="B298" s="3"/>
      <c r="C298" s="3"/>
      <c r="D298" s="3"/>
    </row>
    <row r="299" ht="15.75" customHeight="1">
      <c r="A299" s="3"/>
      <c r="B299" s="3"/>
      <c r="C299" s="3"/>
      <c r="D299" s="3"/>
    </row>
    <row r="300" ht="15.75" customHeight="1">
      <c r="A300" s="3"/>
      <c r="B300" s="3"/>
      <c r="C300" s="3"/>
      <c r="D300" s="3"/>
    </row>
    <row r="301" ht="15.75" customHeight="1">
      <c r="A301" s="3"/>
      <c r="B301" s="3"/>
      <c r="C301" s="3"/>
      <c r="D301" s="3"/>
    </row>
    <row r="302" ht="15.75" customHeight="1">
      <c r="A302" s="3"/>
      <c r="B302" s="3"/>
      <c r="C302" s="3"/>
      <c r="D302" s="3"/>
    </row>
    <row r="303" ht="15.75" customHeight="1">
      <c r="A303" s="3"/>
      <c r="B303" s="3"/>
      <c r="C303" s="3"/>
      <c r="D303" s="3"/>
    </row>
    <row r="304" ht="15.75" customHeight="1">
      <c r="A304" s="3"/>
      <c r="B304" s="3"/>
      <c r="C304" s="3"/>
      <c r="D304" s="3"/>
    </row>
    <row r="305" ht="15.75" customHeight="1">
      <c r="A305" s="3"/>
      <c r="B305" s="3"/>
      <c r="C305" s="3"/>
      <c r="D305" s="3"/>
    </row>
    <row r="306" ht="15.75" customHeight="1">
      <c r="A306" s="3"/>
      <c r="B306" s="3"/>
      <c r="C306" s="3"/>
      <c r="D306" s="3"/>
    </row>
    <row r="307" ht="15.75" customHeight="1">
      <c r="A307" s="3"/>
      <c r="B307" s="3"/>
      <c r="C307" s="3"/>
      <c r="D307" s="3"/>
    </row>
    <row r="308" ht="15.75" customHeight="1">
      <c r="A308" s="3"/>
      <c r="B308" s="3"/>
      <c r="C308" s="3"/>
      <c r="D308" s="3"/>
    </row>
    <row r="309" ht="15.75" customHeight="1">
      <c r="A309" s="3"/>
      <c r="B309" s="3"/>
      <c r="C309" s="3"/>
      <c r="D309" s="3"/>
    </row>
    <row r="310" ht="15.75" customHeight="1">
      <c r="A310" s="3"/>
      <c r="B310" s="3"/>
      <c r="C310" s="3"/>
      <c r="D310" s="3"/>
    </row>
    <row r="311" ht="15.75" customHeight="1">
      <c r="A311" s="3"/>
      <c r="B311" s="3"/>
      <c r="C311" s="3"/>
      <c r="D311" s="3"/>
    </row>
    <row r="312" ht="15.75" customHeight="1">
      <c r="A312" s="3"/>
      <c r="B312" s="3"/>
      <c r="C312" s="3"/>
      <c r="D312" s="3"/>
    </row>
    <row r="313" ht="15.75" customHeight="1">
      <c r="A313" s="3"/>
      <c r="B313" s="3"/>
      <c r="C313" s="3"/>
      <c r="D313" s="3"/>
    </row>
    <row r="314" ht="15.75" customHeight="1">
      <c r="A314" s="3"/>
      <c r="B314" s="3"/>
      <c r="C314" s="3"/>
      <c r="D314" s="3"/>
    </row>
    <row r="315" ht="15.75" customHeight="1">
      <c r="A315" s="3"/>
      <c r="B315" s="3"/>
      <c r="C315" s="3"/>
      <c r="D315" s="3"/>
    </row>
    <row r="316" ht="15.75" customHeight="1">
      <c r="A316" s="3"/>
      <c r="B316" s="3"/>
      <c r="C316" s="3"/>
      <c r="D316" s="3"/>
    </row>
    <row r="317" ht="15.75" customHeight="1">
      <c r="A317" s="3"/>
      <c r="B317" s="3"/>
      <c r="C317" s="3"/>
      <c r="D317" s="3"/>
    </row>
    <row r="318" ht="15.75" customHeight="1">
      <c r="A318" s="3"/>
      <c r="B318" s="3"/>
      <c r="C318" s="3"/>
      <c r="D318" s="3"/>
    </row>
    <row r="319" ht="15.75" customHeight="1">
      <c r="A319" s="3"/>
      <c r="B319" s="3"/>
      <c r="C319" s="3"/>
      <c r="D319" s="3"/>
    </row>
    <row r="320" ht="15.75" customHeight="1">
      <c r="A320" s="3"/>
      <c r="B320" s="3"/>
      <c r="C320" s="3"/>
      <c r="D320" s="3"/>
    </row>
    <row r="321" ht="15.75" customHeight="1">
      <c r="A321" s="3"/>
      <c r="B321" s="3"/>
      <c r="C321" s="3"/>
      <c r="D321" s="3"/>
    </row>
    <row r="322" ht="15.75" customHeight="1">
      <c r="A322" s="3"/>
      <c r="B322" s="3"/>
      <c r="C322" s="3"/>
      <c r="D322" s="3"/>
    </row>
    <row r="323" ht="15.75" customHeight="1">
      <c r="A323" s="3"/>
      <c r="B323" s="3"/>
      <c r="C323" s="3"/>
      <c r="D323" s="3"/>
    </row>
    <row r="324" ht="15.75" customHeight="1">
      <c r="A324" s="3"/>
      <c r="B324" s="3"/>
      <c r="C324" s="3"/>
      <c r="D324" s="3"/>
    </row>
    <row r="325" ht="15.75" customHeight="1">
      <c r="A325" s="3"/>
      <c r="B325" s="3"/>
      <c r="C325" s="3"/>
      <c r="D325" s="3"/>
    </row>
    <row r="326" ht="15.75" customHeight="1">
      <c r="A326" s="3"/>
      <c r="B326" s="3"/>
      <c r="C326" s="3"/>
      <c r="D326" s="3"/>
    </row>
    <row r="327" ht="15.75" customHeight="1">
      <c r="A327" s="3"/>
      <c r="B327" s="3"/>
      <c r="C327" s="3"/>
      <c r="D327" s="3"/>
    </row>
    <row r="328" ht="15.75" customHeight="1">
      <c r="A328" s="3"/>
      <c r="B328" s="3"/>
      <c r="C328" s="3"/>
      <c r="D328" s="3"/>
    </row>
    <row r="329" ht="15.75" customHeight="1">
      <c r="A329" s="3"/>
      <c r="B329" s="3"/>
      <c r="C329" s="3"/>
      <c r="D329" s="3"/>
    </row>
    <row r="330" ht="15.75" customHeight="1">
      <c r="A330" s="3"/>
      <c r="B330" s="3"/>
      <c r="C330" s="3"/>
      <c r="D330" s="3"/>
    </row>
    <row r="331" ht="15.75" customHeight="1">
      <c r="A331" s="3"/>
      <c r="B331" s="3"/>
      <c r="C331" s="3"/>
      <c r="D331" s="3"/>
    </row>
    <row r="332" ht="15.75" customHeight="1">
      <c r="A332" s="3"/>
      <c r="B332" s="3"/>
      <c r="C332" s="3"/>
      <c r="D332" s="3"/>
    </row>
    <row r="333" ht="15.75" customHeight="1">
      <c r="A333" s="3"/>
      <c r="B333" s="3"/>
      <c r="C333" s="3"/>
      <c r="D333" s="3"/>
    </row>
    <row r="334" ht="15.75" customHeight="1">
      <c r="A334" s="3"/>
      <c r="B334" s="3"/>
      <c r="C334" s="3"/>
      <c r="D334" s="3"/>
    </row>
    <row r="335" ht="15.75" customHeight="1">
      <c r="A335" s="3"/>
      <c r="B335" s="3"/>
      <c r="C335" s="3"/>
      <c r="D335" s="3"/>
    </row>
    <row r="336" ht="15.75" customHeight="1">
      <c r="A336" s="3"/>
      <c r="B336" s="3"/>
      <c r="C336" s="3"/>
      <c r="D336" s="3"/>
    </row>
    <row r="337" ht="15.75" customHeight="1">
      <c r="A337" s="3"/>
      <c r="B337" s="3"/>
      <c r="C337" s="3"/>
      <c r="D337" s="3"/>
    </row>
    <row r="338" ht="15.75" customHeight="1">
      <c r="A338" s="3"/>
      <c r="B338" s="3"/>
      <c r="C338" s="3"/>
      <c r="D338" s="3"/>
    </row>
    <row r="339" ht="15.75" customHeight="1">
      <c r="A339" s="3"/>
      <c r="B339" s="3"/>
      <c r="C339" s="3"/>
      <c r="D339" s="3"/>
    </row>
    <row r="340" ht="15.75" customHeight="1">
      <c r="A340" s="3"/>
      <c r="B340" s="3"/>
      <c r="C340" s="3"/>
      <c r="D340" s="3"/>
    </row>
    <row r="341" ht="15.75" customHeight="1">
      <c r="A341" s="3"/>
      <c r="B341" s="3"/>
      <c r="C341" s="3"/>
      <c r="D341" s="3"/>
    </row>
    <row r="342" ht="15.75" customHeight="1">
      <c r="A342" s="3"/>
      <c r="B342" s="3"/>
      <c r="C342" s="3"/>
      <c r="D342" s="3"/>
    </row>
    <row r="343" ht="15.75" customHeight="1">
      <c r="A343" s="3"/>
      <c r="B343" s="3"/>
      <c r="C343" s="3"/>
      <c r="D343" s="3"/>
    </row>
    <row r="344" ht="15.75" customHeight="1">
      <c r="A344" s="3"/>
      <c r="B344" s="3"/>
      <c r="C344" s="3"/>
      <c r="D344" s="3"/>
    </row>
    <row r="345" ht="15.75" customHeight="1">
      <c r="A345" s="3"/>
      <c r="B345" s="3"/>
      <c r="C345" s="3"/>
      <c r="D345" s="3"/>
    </row>
    <row r="346" ht="15.75" customHeight="1">
      <c r="A346" s="3"/>
      <c r="B346" s="3"/>
      <c r="C346" s="3"/>
      <c r="D346" s="3"/>
    </row>
    <row r="347" ht="15.75" customHeight="1">
      <c r="A347" s="3"/>
      <c r="B347" s="3"/>
      <c r="C347" s="3"/>
      <c r="D347" s="3"/>
    </row>
    <row r="348" ht="15.75" customHeight="1">
      <c r="A348" s="3"/>
      <c r="B348" s="3"/>
      <c r="C348" s="3"/>
      <c r="D348" s="3"/>
    </row>
    <row r="349" ht="15.75" customHeight="1">
      <c r="A349" s="3"/>
      <c r="B349" s="3"/>
      <c r="C349" s="3"/>
      <c r="D349" s="3"/>
    </row>
    <row r="350" ht="15.75" customHeight="1">
      <c r="A350" s="3"/>
      <c r="B350" s="3"/>
      <c r="C350" s="3"/>
      <c r="D350" s="3"/>
    </row>
    <row r="351" ht="15.75" customHeight="1">
      <c r="A351" s="3"/>
      <c r="B351" s="3"/>
      <c r="C351" s="3"/>
      <c r="D351" s="3"/>
    </row>
    <row r="352" ht="15.75" customHeight="1">
      <c r="A352" s="3"/>
      <c r="B352" s="3"/>
      <c r="C352" s="3"/>
      <c r="D352" s="3"/>
    </row>
    <row r="353" ht="15.75" customHeight="1">
      <c r="A353" s="3"/>
      <c r="B353" s="3"/>
      <c r="C353" s="3"/>
      <c r="D353" s="3"/>
    </row>
    <row r="354" ht="15.75" customHeight="1">
      <c r="A354" s="3"/>
      <c r="B354" s="3"/>
      <c r="C354" s="3"/>
      <c r="D354" s="3"/>
    </row>
    <row r="355" ht="15.75" customHeight="1">
      <c r="A355" s="3"/>
      <c r="B355" s="3"/>
      <c r="C355" s="3"/>
      <c r="D355" s="3"/>
    </row>
    <row r="356" ht="15.75" customHeight="1">
      <c r="A356" s="3"/>
      <c r="B356" s="3"/>
      <c r="C356" s="3"/>
      <c r="D356" s="3"/>
    </row>
    <row r="357" ht="15.75" customHeight="1">
      <c r="A357" s="3"/>
      <c r="B357" s="3"/>
      <c r="C357" s="3"/>
      <c r="D357" s="3"/>
    </row>
    <row r="358" ht="15.75" customHeight="1">
      <c r="A358" s="3"/>
      <c r="B358" s="3"/>
      <c r="C358" s="3"/>
      <c r="D358" s="3"/>
    </row>
    <row r="359" ht="15.75" customHeight="1">
      <c r="A359" s="3"/>
      <c r="B359" s="3"/>
      <c r="C359" s="3"/>
      <c r="D359" s="3"/>
    </row>
    <row r="360" ht="15.75" customHeight="1">
      <c r="A360" s="3"/>
      <c r="B360" s="3"/>
      <c r="C360" s="3"/>
      <c r="D360" s="3"/>
    </row>
    <row r="361" ht="15.75" customHeight="1">
      <c r="A361" s="3"/>
      <c r="B361" s="3"/>
      <c r="C361" s="3"/>
      <c r="D361" s="3"/>
    </row>
    <row r="362" ht="15.75" customHeight="1">
      <c r="A362" s="3"/>
      <c r="B362" s="3"/>
      <c r="C362" s="3"/>
      <c r="D362" s="3"/>
    </row>
    <row r="363" ht="15.75" customHeight="1">
      <c r="A363" s="3"/>
      <c r="B363" s="3"/>
      <c r="C363" s="3"/>
      <c r="D363" s="3"/>
    </row>
    <row r="364" ht="15.75" customHeight="1">
      <c r="A364" s="3"/>
      <c r="B364" s="3"/>
      <c r="C364" s="3"/>
      <c r="D364" s="3"/>
    </row>
    <row r="365" ht="15.75" customHeight="1">
      <c r="A365" s="3"/>
      <c r="B365" s="3"/>
      <c r="C365" s="3"/>
      <c r="D365" s="3"/>
    </row>
    <row r="366" ht="15.75" customHeight="1">
      <c r="A366" s="3"/>
      <c r="B366" s="3"/>
      <c r="C366" s="3"/>
      <c r="D366" s="3"/>
    </row>
    <row r="367" ht="15.75" customHeight="1">
      <c r="A367" s="3"/>
      <c r="B367" s="3"/>
      <c r="C367" s="3"/>
      <c r="D367" s="3"/>
    </row>
    <row r="368" ht="15.75" customHeight="1">
      <c r="A368" s="3"/>
      <c r="B368" s="3"/>
      <c r="C368" s="3"/>
      <c r="D368" s="3"/>
    </row>
    <row r="369" ht="15.75" customHeight="1">
      <c r="A369" s="3"/>
      <c r="B369" s="3"/>
      <c r="C369" s="3"/>
      <c r="D369" s="3"/>
    </row>
    <row r="370" ht="15.75" customHeight="1">
      <c r="A370" s="3"/>
      <c r="B370" s="3"/>
      <c r="C370" s="3"/>
      <c r="D370" s="3"/>
    </row>
    <row r="371" ht="15.75" customHeight="1">
      <c r="A371" s="3"/>
      <c r="B371" s="3"/>
      <c r="C371" s="3"/>
      <c r="D371" s="3"/>
    </row>
    <row r="372" ht="15.75" customHeight="1">
      <c r="A372" s="3"/>
      <c r="B372" s="3"/>
      <c r="C372" s="3"/>
      <c r="D372" s="3"/>
    </row>
    <row r="373" ht="15.75" customHeight="1">
      <c r="A373" s="3"/>
      <c r="B373" s="3"/>
      <c r="C373" s="3"/>
      <c r="D373" s="3"/>
    </row>
    <row r="374" ht="15.75" customHeight="1">
      <c r="A374" s="3"/>
      <c r="B374" s="3"/>
      <c r="C374" s="3"/>
      <c r="D374" s="3"/>
    </row>
    <row r="375" ht="15.75" customHeight="1">
      <c r="A375" s="3"/>
      <c r="B375" s="3"/>
      <c r="C375" s="3"/>
      <c r="D375" s="3"/>
    </row>
    <row r="376" ht="15.75" customHeight="1">
      <c r="A376" s="3"/>
      <c r="B376" s="3"/>
      <c r="C376" s="3"/>
      <c r="D376" s="3"/>
    </row>
    <row r="377" ht="15.75" customHeight="1">
      <c r="A377" s="3"/>
      <c r="B377" s="3"/>
      <c r="C377" s="3"/>
      <c r="D377" s="3"/>
    </row>
    <row r="378" ht="15.75" customHeight="1">
      <c r="A378" s="3"/>
      <c r="B378" s="3"/>
      <c r="C378" s="3"/>
      <c r="D378" s="3"/>
    </row>
    <row r="379" ht="15.75" customHeight="1">
      <c r="A379" s="3"/>
      <c r="B379" s="3"/>
      <c r="C379" s="3"/>
      <c r="D379" s="3"/>
    </row>
    <row r="380" ht="15.75" customHeight="1">
      <c r="A380" s="3"/>
      <c r="B380" s="3"/>
      <c r="C380" s="3"/>
      <c r="D380" s="3"/>
    </row>
    <row r="381" ht="15.75" customHeight="1">
      <c r="A381" s="3"/>
      <c r="B381" s="3"/>
      <c r="C381" s="3"/>
      <c r="D381" s="3"/>
    </row>
    <row r="382" ht="15.75" customHeight="1">
      <c r="A382" s="3"/>
      <c r="B382" s="3"/>
      <c r="C382" s="3"/>
      <c r="D382" s="3"/>
    </row>
    <row r="383" ht="15.75" customHeight="1">
      <c r="A383" s="3"/>
      <c r="B383" s="3"/>
      <c r="C383" s="3"/>
      <c r="D383" s="3"/>
    </row>
    <row r="384" ht="15.75" customHeight="1">
      <c r="A384" s="3"/>
      <c r="B384" s="3"/>
      <c r="C384" s="3"/>
      <c r="D384" s="3"/>
    </row>
    <row r="385" ht="15.75" customHeight="1">
      <c r="A385" s="3"/>
      <c r="B385" s="3"/>
      <c r="C385" s="3"/>
      <c r="D385" s="3"/>
    </row>
    <row r="386" ht="15.75" customHeight="1">
      <c r="A386" s="3"/>
      <c r="B386" s="3"/>
      <c r="C386" s="3"/>
      <c r="D386" s="3"/>
    </row>
    <row r="387" ht="15.75" customHeight="1">
      <c r="A387" s="3"/>
      <c r="B387" s="3"/>
      <c r="C387" s="3"/>
      <c r="D387" s="3"/>
    </row>
    <row r="388" ht="15.75" customHeight="1">
      <c r="A388" s="3"/>
      <c r="B388" s="3"/>
      <c r="C388" s="3"/>
      <c r="D388" s="3"/>
    </row>
    <row r="389" ht="15.75" customHeight="1">
      <c r="A389" s="3"/>
      <c r="B389" s="3"/>
      <c r="C389" s="3"/>
      <c r="D389" s="3"/>
    </row>
    <row r="390" ht="15.75" customHeight="1">
      <c r="A390" s="3"/>
      <c r="B390" s="3"/>
      <c r="C390" s="3"/>
      <c r="D390" s="3"/>
    </row>
    <row r="391" ht="15.75" customHeight="1">
      <c r="A391" s="3"/>
      <c r="B391" s="3"/>
      <c r="C391" s="3"/>
      <c r="D391" s="3"/>
    </row>
    <row r="392" ht="15.75" customHeight="1">
      <c r="A392" s="3"/>
      <c r="B392" s="3"/>
      <c r="C392" s="3"/>
      <c r="D392" s="3"/>
    </row>
    <row r="393" ht="15.75" customHeight="1">
      <c r="A393" s="3"/>
      <c r="B393" s="3"/>
      <c r="C393" s="3"/>
      <c r="D393" s="3"/>
    </row>
    <row r="394" ht="15.75" customHeight="1">
      <c r="A394" s="3"/>
      <c r="B394" s="3"/>
      <c r="C394" s="3"/>
      <c r="D394" s="3"/>
    </row>
    <row r="395" ht="15.75" customHeight="1">
      <c r="A395" s="3"/>
      <c r="B395" s="3"/>
      <c r="C395" s="3"/>
      <c r="D395" s="3"/>
    </row>
    <row r="396" ht="15.75" customHeight="1">
      <c r="A396" s="3"/>
      <c r="B396" s="3"/>
      <c r="C396" s="3"/>
      <c r="D396" s="3"/>
    </row>
    <row r="397" ht="15.75" customHeight="1">
      <c r="A397" s="3"/>
      <c r="B397" s="3"/>
      <c r="C397" s="3"/>
      <c r="D397" s="3"/>
    </row>
    <row r="398" ht="15.75" customHeight="1">
      <c r="A398" s="3"/>
      <c r="B398" s="3"/>
      <c r="C398" s="3"/>
      <c r="D398" s="3"/>
    </row>
    <row r="399" ht="15.75" customHeight="1">
      <c r="A399" s="3"/>
      <c r="B399" s="3"/>
      <c r="C399" s="3"/>
      <c r="D399" s="3"/>
    </row>
    <row r="400" ht="15.75" customHeight="1">
      <c r="A400" s="3"/>
      <c r="B400" s="3"/>
      <c r="C400" s="3"/>
      <c r="D400" s="3"/>
    </row>
    <row r="401" ht="15.75" customHeight="1">
      <c r="A401" s="3"/>
      <c r="B401" s="3"/>
      <c r="C401" s="3"/>
      <c r="D401" s="3"/>
    </row>
    <row r="402" ht="15.75" customHeight="1">
      <c r="A402" s="3"/>
      <c r="B402" s="3"/>
      <c r="C402" s="3"/>
      <c r="D402" s="3"/>
    </row>
    <row r="403" ht="15.75" customHeight="1">
      <c r="A403" s="3"/>
      <c r="B403" s="3"/>
      <c r="C403" s="3"/>
      <c r="D403" s="3"/>
    </row>
    <row r="404" ht="15.75" customHeight="1">
      <c r="A404" s="3"/>
      <c r="B404" s="3"/>
      <c r="C404" s="3"/>
      <c r="D404" s="3"/>
    </row>
    <row r="405" ht="15.75" customHeight="1">
      <c r="A405" s="3"/>
      <c r="B405" s="3"/>
      <c r="C405" s="3"/>
      <c r="D405" s="3"/>
    </row>
    <row r="406" ht="15.75" customHeight="1">
      <c r="A406" s="3"/>
      <c r="B406" s="3"/>
      <c r="C406" s="3"/>
      <c r="D406" s="3"/>
    </row>
    <row r="407" ht="15.75" customHeight="1">
      <c r="A407" s="3"/>
      <c r="B407" s="3"/>
      <c r="C407" s="3"/>
      <c r="D407" s="3"/>
    </row>
    <row r="408" ht="15.75" customHeight="1">
      <c r="A408" s="3"/>
      <c r="B408" s="3"/>
      <c r="C408" s="3"/>
      <c r="D408" s="3"/>
    </row>
    <row r="409" ht="15.75" customHeight="1">
      <c r="A409" s="3"/>
      <c r="B409" s="3"/>
      <c r="C409" s="3"/>
      <c r="D409" s="3"/>
    </row>
    <row r="410" ht="15.75" customHeight="1">
      <c r="A410" s="3"/>
      <c r="B410" s="3"/>
      <c r="C410" s="3"/>
      <c r="D410" s="3"/>
    </row>
    <row r="411" ht="15.75" customHeight="1">
      <c r="A411" s="3"/>
      <c r="B411" s="3"/>
      <c r="C411" s="3"/>
      <c r="D411" s="3"/>
    </row>
    <row r="412" ht="15.75" customHeight="1">
      <c r="A412" s="3"/>
      <c r="B412" s="3"/>
      <c r="C412" s="3"/>
      <c r="D412" s="3"/>
    </row>
    <row r="413" ht="15.75" customHeight="1">
      <c r="A413" s="3"/>
      <c r="B413" s="3"/>
      <c r="C413" s="3"/>
      <c r="D413" s="3"/>
    </row>
    <row r="414" ht="15.75" customHeight="1">
      <c r="A414" s="3"/>
      <c r="B414" s="3"/>
      <c r="C414" s="3"/>
      <c r="D414" s="3"/>
    </row>
    <row r="415" ht="15.75" customHeight="1">
      <c r="A415" s="3"/>
      <c r="B415" s="3"/>
      <c r="C415" s="3"/>
      <c r="D415" s="3"/>
    </row>
    <row r="416" ht="15.75" customHeight="1">
      <c r="A416" s="3"/>
      <c r="B416" s="3"/>
      <c r="C416" s="3"/>
      <c r="D416" s="3"/>
    </row>
    <row r="417" ht="15.75" customHeight="1">
      <c r="A417" s="3"/>
      <c r="B417" s="3"/>
      <c r="C417" s="3"/>
      <c r="D417" s="3"/>
    </row>
    <row r="418" ht="15.75" customHeight="1">
      <c r="A418" s="3"/>
      <c r="B418" s="3"/>
      <c r="C418" s="3"/>
      <c r="D418" s="3"/>
    </row>
    <row r="419" ht="15.75" customHeight="1">
      <c r="A419" s="3"/>
      <c r="B419" s="3"/>
      <c r="C419" s="3"/>
      <c r="D419" s="3"/>
    </row>
    <row r="420" ht="15.75" customHeight="1">
      <c r="A420" s="3"/>
      <c r="B420" s="3"/>
      <c r="C420" s="3"/>
      <c r="D420" s="3"/>
    </row>
    <row r="421" ht="15.75" customHeight="1">
      <c r="A421" s="3"/>
      <c r="B421" s="3"/>
      <c r="C421" s="3"/>
      <c r="D421" s="3"/>
    </row>
    <row r="422" ht="15.75" customHeight="1">
      <c r="A422" s="3"/>
      <c r="B422" s="3"/>
      <c r="C422" s="3"/>
      <c r="D422" s="3"/>
    </row>
    <row r="423" ht="15.75" customHeight="1">
      <c r="A423" s="3"/>
      <c r="B423" s="3"/>
      <c r="C423" s="3"/>
      <c r="D423" s="3"/>
    </row>
    <row r="424" ht="15.75" customHeight="1">
      <c r="A424" s="3"/>
      <c r="B424" s="3"/>
      <c r="C424" s="3"/>
      <c r="D424" s="3"/>
    </row>
    <row r="425" ht="15.75" customHeight="1">
      <c r="A425" s="3"/>
      <c r="B425" s="3"/>
      <c r="C425" s="3"/>
      <c r="D425" s="3"/>
    </row>
    <row r="426" ht="15.75" customHeight="1">
      <c r="A426" s="3"/>
      <c r="B426" s="3"/>
      <c r="C426" s="3"/>
      <c r="D426" s="3"/>
    </row>
    <row r="427" ht="15.75" customHeight="1">
      <c r="A427" s="3"/>
      <c r="B427" s="3"/>
      <c r="C427" s="3"/>
      <c r="D427" s="3"/>
    </row>
    <row r="428" ht="15.75" customHeight="1">
      <c r="A428" s="3"/>
      <c r="B428" s="3"/>
      <c r="C428" s="3"/>
      <c r="D428" s="3"/>
    </row>
    <row r="429" ht="15.75" customHeight="1">
      <c r="A429" s="3"/>
      <c r="B429" s="3"/>
      <c r="C429" s="3"/>
      <c r="D429" s="3"/>
    </row>
    <row r="430" ht="15.75" customHeight="1">
      <c r="A430" s="3"/>
      <c r="B430" s="3"/>
      <c r="C430" s="3"/>
      <c r="D430" s="3"/>
    </row>
    <row r="431" ht="15.75" customHeight="1">
      <c r="A431" s="3"/>
      <c r="B431" s="3"/>
      <c r="C431" s="3"/>
      <c r="D431" s="3"/>
    </row>
    <row r="432" ht="15.75" customHeight="1">
      <c r="A432" s="3"/>
      <c r="B432" s="3"/>
      <c r="C432" s="3"/>
      <c r="D432" s="3"/>
    </row>
    <row r="433" ht="15.75" customHeight="1">
      <c r="A433" s="3"/>
      <c r="B433" s="3"/>
      <c r="C433" s="3"/>
      <c r="D433" s="3"/>
    </row>
    <row r="434" ht="15.75" customHeight="1">
      <c r="A434" s="3"/>
      <c r="B434" s="3"/>
      <c r="C434" s="3"/>
      <c r="D434" s="3"/>
    </row>
    <row r="435" ht="15.75" customHeight="1">
      <c r="A435" s="3"/>
      <c r="B435" s="3"/>
      <c r="C435" s="3"/>
      <c r="D435" s="3"/>
    </row>
    <row r="436" ht="15.75" customHeight="1">
      <c r="A436" s="3"/>
      <c r="B436" s="3"/>
      <c r="C436" s="3"/>
      <c r="D436" s="3"/>
    </row>
    <row r="437" ht="15.75" customHeight="1">
      <c r="A437" s="3"/>
      <c r="B437" s="3"/>
      <c r="C437" s="3"/>
      <c r="D437" s="3"/>
    </row>
    <row r="438" ht="15.75" customHeight="1">
      <c r="A438" s="3"/>
      <c r="B438" s="3"/>
      <c r="C438" s="3"/>
      <c r="D438" s="3"/>
    </row>
    <row r="439" ht="15.75" customHeight="1">
      <c r="A439" s="3"/>
      <c r="B439" s="3"/>
      <c r="C439" s="3"/>
      <c r="D439" s="3"/>
    </row>
    <row r="440" ht="15.75" customHeight="1">
      <c r="A440" s="3"/>
      <c r="B440" s="3"/>
      <c r="C440" s="3"/>
      <c r="D440" s="3"/>
    </row>
    <row r="441" ht="15.75" customHeight="1">
      <c r="A441" s="3"/>
      <c r="B441" s="3"/>
      <c r="C441" s="3"/>
      <c r="D441" s="3"/>
    </row>
    <row r="442" ht="15.75" customHeight="1">
      <c r="A442" s="3"/>
      <c r="B442" s="3"/>
      <c r="C442" s="3"/>
      <c r="D442" s="3"/>
    </row>
    <row r="443" ht="15.75" customHeight="1">
      <c r="A443" s="3"/>
      <c r="B443" s="3"/>
      <c r="C443" s="3"/>
      <c r="D443" s="3"/>
    </row>
    <row r="444" ht="15.75" customHeight="1">
      <c r="A444" s="3"/>
      <c r="B444" s="3"/>
      <c r="C444" s="3"/>
      <c r="D444" s="3"/>
    </row>
    <row r="445" ht="15.75" customHeight="1">
      <c r="A445" s="3"/>
      <c r="B445" s="3"/>
      <c r="C445" s="3"/>
      <c r="D445" s="3"/>
    </row>
    <row r="446" ht="15.75" customHeight="1">
      <c r="A446" s="3"/>
      <c r="B446" s="3"/>
      <c r="C446" s="3"/>
      <c r="D446" s="3"/>
    </row>
    <row r="447" ht="15.75" customHeight="1">
      <c r="A447" s="3"/>
      <c r="B447" s="3"/>
      <c r="C447" s="3"/>
      <c r="D447" s="3"/>
    </row>
    <row r="448" ht="15.75" customHeight="1">
      <c r="A448" s="3"/>
      <c r="B448" s="3"/>
      <c r="C448" s="3"/>
      <c r="D448" s="3"/>
    </row>
    <row r="449" ht="15.75" customHeight="1">
      <c r="A449" s="3"/>
      <c r="B449" s="3"/>
      <c r="C449" s="3"/>
      <c r="D449" s="3"/>
    </row>
    <row r="450" ht="15.75" customHeight="1">
      <c r="A450" s="3"/>
      <c r="B450" s="3"/>
      <c r="C450" s="3"/>
      <c r="D450" s="3"/>
    </row>
    <row r="451" ht="15.75" customHeight="1">
      <c r="A451" s="3"/>
      <c r="B451" s="3"/>
      <c r="C451" s="3"/>
      <c r="D451" s="3"/>
    </row>
    <row r="452" ht="15.75" customHeight="1">
      <c r="A452" s="3"/>
      <c r="B452" s="3"/>
      <c r="C452" s="3"/>
      <c r="D452" s="3"/>
    </row>
    <row r="453" ht="15.75" customHeight="1">
      <c r="A453" s="3"/>
      <c r="B453" s="3"/>
      <c r="C453" s="3"/>
      <c r="D453" s="3"/>
    </row>
    <row r="454" ht="15.75" customHeight="1">
      <c r="A454" s="3"/>
      <c r="B454" s="3"/>
      <c r="C454" s="3"/>
      <c r="D454" s="3"/>
    </row>
    <row r="455" ht="15.75" customHeight="1">
      <c r="A455" s="3"/>
      <c r="B455" s="3"/>
      <c r="C455" s="3"/>
      <c r="D455" s="3"/>
    </row>
    <row r="456" ht="15.75" customHeight="1">
      <c r="A456" s="3"/>
      <c r="B456" s="3"/>
      <c r="C456" s="3"/>
      <c r="D456" s="3"/>
    </row>
    <row r="457" ht="15.75" customHeight="1">
      <c r="A457" s="3"/>
      <c r="B457" s="3"/>
      <c r="C457" s="3"/>
      <c r="D457" s="3"/>
    </row>
    <row r="458" ht="15.75" customHeight="1">
      <c r="A458" s="3"/>
      <c r="B458" s="3"/>
      <c r="C458" s="3"/>
      <c r="D458" s="3"/>
    </row>
    <row r="459" ht="15.75" customHeight="1">
      <c r="A459" s="3"/>
      <c r="B459" s="3"/>
      <c r="C459" s="3"/>
      <c r="D459" s="3"/>
    </row>
    <row r="460" ht="15.75" customHeight="1">
      <c r="A460" s="3"/>
      <c r="B460" s="3"/>
      <c r="C460" s="3"/>
      <c r="D460" s="3"/>
    </row>
    <row r="461" ht="15.75" customHeight="1">
      <c r="A461" s="3"/>
      <c r="B461" s="3"/>
      <c r="C461" s="3"/>
      <c r="D461" s="3"/>
    </row>
    <row r="462" ht="15.75" customHeight="1">
      <c r="A462" s="3"/>
      <c r="B462" s="3"/>
      <c r="C462" s="3"/>
      <c r="D462" s="3"/>
    </row>
    <row r="463" ht="15.75" customHeight="1">
      <c r="A463" s="3"/>
      <c r="B463" s="3"/>
      <c r="C463" s="3"/>
      <c r="D463" s="3"/>
    </row>
    <row r="464" ht="15.75" customHeight="1">
      <c r="A464" s="3"/>
      <c r="B464" s="3"/>
      <c r="C464" s="3"/>
      <c r="D464" s="3"/>
    </row>
    <row r="465" ht="15.75" customHeight="1">
      <c r="A465" s="3"/>
      <c r="B465" s="3"/>
      <c r="C465" s="3"/>
      <c r="D465" s="3"/>
    </row>
    <row r="466" ht="15.75" customHeight="1">
      <c r="A466" s="3"/>
      <c r="B466" s="3"/>
      <c r="C466" s="3"/>
      <c r="D466" s="3"/>
    </row>
    <row r="467" ht="15.75" customHeight="1">
      <c r="A467" s="3"/>
      <c r="B467" s="3"/>
      <c r="C467" s="3"/>
      <c r="D467" s="3"/>
    </row>
    <row r="468" ht="15.75" customHeight="1">
      <c r="A468" s="3"/>
      <c r="B468" s="3"/>
      <c r="C468" s="3"/>
      <c r="D468" s="3"/>
    </row>
    <row r="469" ht="15.75" customHeight="1">
      <c r="A469" s="3"/>
      <c r="B469" s="3"/>
      <c r="C469" s="3"/>
      <c r="D469" s="3"/>
    </row>
    <row r="470" ht="15.75" customHeight="1">
      <c r="A470" s="3"/>
      <c r="B470" s="3"/>
      <c r="C470" s="3"/>
      <c r="D470" s="3"/>
    </row>
    <row r="471" ht="15.75" customHeight="1">
      <c r="A471" s="3"/>
      <c r="B471" s="3"/>
      <c r="C471" s="3"/>
      <c r="D471" s="3"/>
    </row>
    <row r="472" ht="15.75" customHeight="1">
      <c r="A472" s="3"/>
      <c r="B472" s="3"/>
      <c r="C472" s="3"/>
      <c r="D472" s="3"/>
    </row>
    <row r="473" ht="15.75" customHeight="1">
      <c r="A473" s="3"/>
      <c r="B473" s="3"/>
      <c r="C473" s="3"/>
      <c r="D473" s="3"/>
    </row>
    <row r="474" ht="15.75" customHeight="1">
      <c r="A474" s="3"/>
      <c r="B474" s="3"/>
      <c r="C474" s="3"/>
      <c r="D474" s="3"/>
    </row>
    <row r="475" ht="15.75" customHeight="1">
      <c r="A475" s="3"/>
      <c r="B475" s="3"/>
      <c r="C475" s="3"/>
      <c r="D475" s="3"/>
    </row>
    <row r="476" ht="15.75" customHeight="1">
      <c r="A476" s="3"/>
      <c r="B476" s="3"/>
      <c r="C476" s="3"/>
      <c r="D476" s="3"/>
    </row>
    <row r="477" ht="15.75" customHeight="1">
      <c r="A477" s="3"/>
      <c r="B477" s="3"/>
      <c r="C477" s="3"/>
      <c r="D477" s="3"/>
    </row>
    <row r="478" ht="15.75" customHeight="1">
      <c r="A478" s="3"/>
      <c r="B478" s="3"/>
      <c r="C478" s="3"/>
      <c r="D478" s="3"/>
    </row>
    <row r="479" ht="15.75" customHeight="1">
      <c r="A479" s="3"/>
      <c r="B479" s="3"/>
      <c r="C479" s="3"/>
      <c r="D479" s="3"/>
    </row>
    <row r="480" ht="15.75" customHeight="1">
      <c r="A480" s="3"/>
      <c r="B480" s="3"/>
      <c r="C480" s="3"/>
      <c r="D480" s="3"/>
    </row>
    <row r="481" ht="15.75" customHeight="1">
      <c r="A481" s="3"/>
      <c r="B481" s="3"/>
      <c r="C481" s="3"/>
      <c r="D481" s="3"/>
    </row>
    <row r="482" ht="15.75" customHeight="1">
      <c r="A482" s="3"/>
      <c r="B482" s="3"/>
      <c r="C482" s="3"/>
      <c r="D482" s="3"/>
    </row>
    <row r="483" ht="15.75" customHeight="1">
      <c r="A483" s="3"/>
      <c r="B483" s="3"/>
      <c r="C483" s="3"/>
      <c r="D483" s="3"/>
    </row>
    <row r="484" ht="15.75" customHeight="1">
      <c r="A484" s="3"/>
      <c r="B484" s="3"/>
      <c r="C484" s="3"/>
      <c r="D484" s="3"/>
    </row>
    <row r="485" ht="15.75" customHeight="1">
      <c r="A485" s="3"/>
      <c r="B485" s="3"/>
      <c r="C485" s="3"/>
      <c r="D485" s="3"/>
    </row>
    <row r="486" ht="15.75" customHeight="1">
      <c r="A486" s="3"/>
      <c r="B486" s="3"/>
      <c r="C486" s="3"/>
      <c r="D486" s="3"/>
    </row>
    <row r="487" ht="15.75" customHeight="1">
      <c r="A487" s="3"/>
      <c r="B487" s="3"/>
      <c r="C487" s="3"/>
      <c r="D487" s="3"/>
    </row>
    <row r="488" ht="15.75" customHeight="1">
      <c r="A488" s="3"/>
      <c r="B488" s="3"/>
      <c r="C488" s="3"/>
      <c r="D488" s="3"/>
    </row>
    <row r="489" ht="15.75" customHeight="1">
      <c r="A489" s="3"/>
      <c r="B489" s="3"/>
      <c r="C489" s="3"/>
      <c r="D489" s="3"/>
    </row>
    <row r="490" ht="15.75" customHeight="1">
      <c r="A490" s="3"/>
      <c r="B490" s="3"/>
      <c r="C490" s="3"/>
      <c r="D490" s="3"/>
    </row>
    <row r="491" ht="15.75" customHeight="1">
      <c r="A491" s="3"/>
      <c r="B491" s="3"/>
      <c r="C491" s="3"/>
      <c r="D491" s="3"/>
    </row>
    <row r="492" ht="15.75" customHeight="1">
      <c r="A492" s="3"/>
      <c r="B492" s="3"/>
      <c r="C492" s="3"/>
      <c r="D492" s="3"/>
    </row>
    <row r="493" ht="15.75" customHeight="1">
      <c r="A493" s="3"/>
      <c r="B493" s="3"/>
      <c r="C493" s="3"/>
      <c r="D493" s="3"/>
    </row>
    <row r="494" ht="15.75" customHeight="1">
      <c r="A494" s="3"/>
      <c r="B494" s="3"/>
      <c r="C494" s="3"/>
      <c r="D494" s="3"/>
    </row>
    <row r="495" ht="15.75" customHeight="1">
      <c r="A495" s="3"/>
      <c r="B495" s="3"/>
      <c r="C495" s="3"/>
      <c r="D495" s="3"/>
    </row>
    <row r="496" ht="15.75" customHeight="1">
      <c r="A496" s="3"/>
      <c r="B496" s="3"/>
      <c r="C496" s="3"/>
      <c r="D496" s="3"/>
    </row>
    <row r="497" ht="15.75" customHeight="1">
      <c r="A497" s="3"/>
      <c r="B497" s="3"/>
      <c r="C497" s="3"/>
      <c r="D497" s="3"/>
    </row>
    <row r="498" ht="15.75" customHeight="1">
      <c r="A498" s="3"/>
      <c r="B498" s="3"/>
      <c r="C498" s="3"/>
      <c r="D498" s="3"/>
    </row>
    <row r="499" ht="15.75" customHeight="1">
      <c r="A499" s="3"/>
      <c r="B499" s="3"/>
      <c r="C499" s="3"/>
      <c r="D499" s="3"/>
    </row>
    <row r="500" ht="15.75" customHeight="1">
      <c r="A500" s="3"/>
      <c r="B500" s="3"/>
      <c r="C500" s="3"/>
      <c r="D500" s="3"/>
    </row>
    <row r="501" ht="15.75" customHeight="1">
      <c r="A501" s="3"/>
      <c r="B501" s="3"/>
      <c r="C501" s="3"/>
      <c r="D501" s="3"/>
    </row>
    <row r="502" ht="15.75" customHeight="1">
      <c r="A502" s="3"/>
      <c r="B502" s="3"/>
      <c r="C502" s="3"/>
      <c r="D502" s="3"/>
    </row>
    <row r="503" ht="15.75" customHeight="1">
      <c r="A503" s="3"/>
      <c r="B503" s="3"/>
      <c r="C503" s="3"/>
      <c r="D503" s="3"/>
    </row>
    <row r="504" ht="15.75" customHeight="1">
      <c r="A504" s="3"/>
      <c r="B504" s="3"/>
      <c r="C504" s="3"/>
      <c r="D504" s="3"/>
    </row>
    <row r="505" ht="15.75" customHeight="1">
      <c r="A505" s="3"/>
      <c r="B505" s="3"/>
      <c r="C505" s="3"/>
      <c r="D505" s="3"/>
    </row>
    <row r="506" ht="15.75" customHeight="1">
      <c r="A506" s="3"/>
      <c r="B506" s="3"/>
      <c r="C506" s="3"/>
      <c r="D506" s="3"/>
    </row>
    <row r="507" ht="15.75" customHeight="1">
      <c r="A507" s="3"/>
      <c r="B507" s="3"/>
      <c r="C507" s="3"/>
      <c r="D507" s="3"/>
    </row>
    <row r="508" ht="15.75" customHeight="1">
      <c r="A508" s="3"/>
      <c r="B508" s="3"/>
      <c r="C508" s="3"/>
      <c r="D508" s="3"/>
    </row>
    <row r="509" ht="15.75" customHeight="1">
      <c r="A509" s="3"/>
      <c r="B509" s="3"/>
      <c r="C509" s="3"/>
      <c r="D509" s="3"/>
    </row>
    <row r="510" ht="15.75" customHeight="1">
      <c r="A510" s="3"/>
      <c r="B510" s="3"/>
      <c r="C510" s="3"/>
      <c r="D510" s="3"/>
    </row>
    <row r="511" ht="15.75" customHeight="1">
      <c r="A511" s="3"/>
      <c r="B511" s="3"/>
      <c r="C511" s="3"/>
      <c r="D511" s="3"/>
    </row>
    <row r="512" ht="15.75" customHeight="1">
      <c r="A512" s="3"/>
      <c r="B512" s="3"/>
      <c r="C512" s="3"/>
      <c r="D512" s="3"/>
    </row>
    <row r="513" ht="15.75" customHeight="1">
      <c r="A513" s="3"/>
      <c r="B513" s="3"/>
      <c r="C513" s="3"/>
      <c r="D513" s="3"/>
    </row>
    <row r="514" ht="15.75" customHeight="1">
      <c r="A514" s="3"/>
      <c r="B514" s="3"/>
      <c r="C514" s="3"/>
      <c r="D514" s="3"/>
    </row>
    <row r="515" ht="15.75" customHeight="1">
      <c r="A515" s="3"/>
      <c r="B515" s="3"/>
      <c r="C515" s="3"/>
      <c r="D515" s="3"/>
    </row>
    <row r="516" ht="15.75" customHeight="1">
      <c r="A516" s="3"/>
      <c r="B516" s="3"/>
      <c r="C516" s="3"/>
      <c r="D516" s="3"/>
    </row>
    <row r="517" ht="15.75" customHeight="1">
      <c r="A517" s="3"/>
      <c r="B517" s="3"/>
      <c r="C517" s="3"/>
      <c r="D517" s="3"/>
    </row>
    <row r="518" ht="15.75" customHeight="1">
      <c r="A518" s="3"/>
      <c r="B518" s="3"/>
      <c r="C518" s="3"/>
      <c r="D518" s="3"/>
    </row>
    <row r="519" ht="15.75" customHeight="1">
      <c r="A519" s="3"/>
      <c r="B519" s="3"/>
      <c r="C519" s="3"/>
      <c r="D519" s="3"/>
    </row>
    <row r="520" ht="15.75" customHeight="1">
      <c r="A520" s="3"/>
      <c r="B520" s="3"/>
      <c r="C520" s="3"/>
      <c r="D520" s="3"/>
    </row>
    <row r="521" ht="15.75" customHeight="1">
      <c r="A521" s="3"/>
      <c r="B521" s="3"/>
      <c r="C521" s="3"/>
      <c r="D521" s="3"/>
    </row>
    <row r="522" ht="15.75" customHeight="1">
      <c r="A522" s="3"/>
      <c r="B522" s="3"/>
      <c r="C522" s="3"/>
      <c r="D522" s="3"/>
    </row>
    <row r="523" ht="15.75" customHeight="1">
      <c r="A523" s="3"/>
      <c r="B523" s="3"/>
      <c r="C523" s="3"/>
      <c r="D523" s="3"/>
    </row>
    <row r="524" ht="15.75" customHeight="1">
      <c r="A524" s="3"/>
      <c r="B524" s="3"/>
      <c r="C524" s="3"/>
      <c r="D524" s="3"/>
    </row>
    <row r="525" ht="15.75" customHeight="1">
      <c r="A525" s="3"/>
      <c r="B525" s="3"/>
      <c r="C525" s="3"/>
      <c r="D525" s="3"/>
    </row>
    <row r="526" ht="15.75" customHeight="1">
      <c r="A526" s="3"/>
      <c r="B526" s="3"/>
      <c r="C526" s="3"/>
      <c r="D526" s="3"/>
    </row>
    <row r="527" ht="15.75" customHeight="1">
      <c r="A527" s="3"/>
      <c r="B527" s="3"/>
      <c r="C527" s="3"/>
      <c r="D527" s="3"/>
    </row>
    <row r="528" ht="15.75" customHeight="1">
      <c r="A528" s="3"/>
      <c r="B528" s="3"/>
      <c r="C528" s="3"/>
      <c r="D528" s="3"/>
    </row>
    <row r="529" ht="15.75" customHeight="1">
      <c r="A529" s="3"/>
      <c r="B529" s="3"/>
      <c r="C529" s="3"/>
      <c r="D529" s="3"/>
    </row>
    <row r="530" ht="15.75" customHeight="1">
      <c r="A530" s="3"/>
      <c r="B530" s="3"/>
      <c r="C530" s="3"/>
      <c r="D530" s="3"/>
    </row>
    <row r="531" ht="15.75" customHeight="1">
      <c r="A531" s="3"/>
      <c r="B531" s="3"/>
      <c r="C531" s="3"/>
      <c r="D531" s="3"/>
    </row>
    <row r="532" ht="15.75" customHeight="1">
      <c r="A532" s="3"/>
      <c r="B532" s="3"/>
      <c r="C532" s="3"/>
      <c r="D532" s="3"/>
    </row>
    <row r="533" ht="15.75" customHeight="1">
      <c r="A533" s="3"/>
      <c r="B533" s="3"/>
      <c r="C533" s="3"/>
      <c r="D533" s="3"/>
    </row>
    <row r="534" ht="15.75" customHeight="1">
      <c r="A534" s="3"/>
      <c r="B534" s="3"/>
      <c r="C534" s="3"/>
      <c r="D534" s="3"/>
    </row>
    <row r="535" ht="15.75" customHeight="1">
      <c r="A535" s="3"/>
      <c r="B535" s="3"/>
      <c r="C535" s="3"/>
      <c r="D535" s="3"/>
    </row>
    <row r="536" ht="15.75" customHeight="1">
      <c r="A536" s="3"/>
      <c r="B536" s="3"/>
      <c r="C536" s="3"/>
      <c r="D536" s="3"/>
    </row>
    <row r="537" ht="15.75" customHeight="1">
      <c r="A537" s="3"/>
      <c r="B537" s="3"/>
      <c r="C537" s="3"/>
      <c r="D537" s="3"/>
    </row>
    <row r="538" ht="15.75" customHeight="1">
      <c r="A538" s="3"/>
      <c r="B538" s="3"/>
      <c r="C538" s="3"/>
      <c r="D538" s="3"/>
    </row>
    <row r="539" ht="15.75" customHeight="1">
      <c r="A539" s="3"/>
      <c r="B539" s="3"/>
      <c r="C539" s="3"/>
      <c r="D539" s="3"/>
    </row>
    <row r="540" ht="15.75" customHeight="1">
      <c r="A540" s="3"/>
      <c r="B540" s="3"/>
      <c r="C540" s="3"/>
      <c r="D540" s="3"/>
    </row>
    <row r="541" ht="15.75" customHeight="1">
      <c r="A541" s="3"/>
      <c r="B541" s="3"/>
      <c r="C541" s="3"/>
      <c r="D541" s="3"/>
    </row>
    <row r="542" ht="15.75" customHeight="1">
      <c r="A542" s="3"/>
      <c r="B542" s="3"/>
      <c r="C542" s="3"/>
      <c r="D542" s="3"/>
    </row>
    <row r="543" ht="15.75" customHeight="1">
      <c r="A543" s="3"/>
      <c r="B543" s="3"/>
      <c r="C543" s="3"/>
      <c r="D543" s="3"/>
    </row>
    <row r="544" ht="15.75" customHeight="1">
      <c r="A544" s="3"/>
      <c r="B544" s="3"/>
      <c r="C544" s="3"/>
      <c r="D544" s="3"/>
    </row>
    <row r="545" ht="15.75" customHeight="1">
      <c r="A545" s="3"/>
      <c r="B545" s="3"/>
      <c r="C545" s="3"/>
      <c r="D545" s="3"/>
    </row>
    <row r="546" ht="15.75" customHeight="1">
      <c r="A546" s="3"/>
      <c r="B546" s="3"/>
      <c r="C546" s="3"/>
      <c r="D546" s="3"/>
    </row>
    <row r="547" ht="15.75" customHeight="1">
      <c r="A547" s="3"/>
      <c r="B547" s="3"/>
      <c r="C547" s="3"/>
      <c r="D547" s="3"/>
    </row>
    <row r="548" ht="15.75" customHeight="1">
      <c r="A548" s="3"/>
      <c r="B548" s="3"/>
      <c r="C548" s="3"/>
      <c r="D548" s="3"/>
    </row>
    <row r="549" ht="15.75" customHeight="1">
      <c r="A549" s="3"/>
      <c r="B549" s="3"/>
      <c r="C549" s="3"/>
      <c r="D549" s="3"/>
    </row>
    <row r="550" ht="15.75" customHeight="1">
      <c r="A550" s="3"/>
      <c r="B550" s="3"/>
      <c r="C550" s="3"/>
      <c r="D550" s="3"/>
    </row>
    <row r="551" ht="15.75" customHeight="1">
      <c r="A551" s="3"/>
      <c r="B551" s="3"/>
      <c r="C551" s="3"/>
      <c r="D551" s="3"/>
    </row>
    <row r="552" ht="15.75" customHeight="1">
      <c r="A552" s="3"/>
      <c r="B552" s="3"/>
      <c r="C552" s="3"/>
      <c r="D552" s="3"/>
    </row>
    <row r="553" ht="15.75" customHeight="1">
      <c r="A553" s="3"/>
      <c r="B553" s="3"/>
      <c r="C553" s="3"/>
      <c r="D553" s="3"/>
    </row>
    <row r="554" ht="15.75" customHeight="1">
      <c r="A554" s="3"/>
      <c r="B554" s="3"/>
      <c r="C554" s="3"/>
      <c r="D554" s="3"/>
    </row>
    <row r="555" ht="15.75" customHeight="1">
      <c r="A555" s="3"/>
      <c r="B555" s="3"/>
      <c r="C555" s="3"/>
      <c r="D555" s="3"/>
    </row>
    <row r="556" ht="15.75" customHeight="1">
      <c r="A556" s="3"/>
      <c r="B556" s="3"/>
      <c r="C556" s="3"/>
      <c r="D556" s="3"/>
    </row>
    <row r="557" ht="15.75" customHeight="1">
      <c r="A557" s="3"/>
      <c r="B557" s="3"/>
      <c r="C557" s="3"/>
      <c r="D557" s="3"/>
    </row>
    <row r="558" ht="15.75" customHeight="1">
      <c r="A558" s="3"/>
      <c r="B558" s="3"/>
      <c r="C558" s="3"/>
      <c r="D558" s="3"/>
    </row>
    <row r="559" ht="15.75" customHeight="1">
      <c r="A559" s="3"/>
      <c r="B559" s="3"/>
      <c r="C559" s="3"/>
      <c r="D559" s="3"/>
    </row>
    <row r="560" ht="15.75" customHeight="1">
      <c r="A560" s="3"/>
      <c r="B560" s="3"/>
      <c r="C560" s="3"/>
      <c r="D560" s="3"/>
    </row>
    <row r="561" ht="15.75" customHeight="1">
      <c r="A561" s="3"/>
      <c r="B561" s="3"/>
      <c r="C561" s="3"/>
      <c r="D561" s="3"/>
    </row>
    <row r="562" ht="15.75" customHeight="1">
      <c r="A562" s="3"/>
      <c r="B562" s="3"/>
      <c r="C562" s="3"/>
      <c r="D562" s="3"/>
    </row>
    <row r="563" ht="15.75" customHeight="1">
      <c r="A563" s="3"/>
      <c r="B563" s="3"/>
      <c r="C563" s="3"/>
      <c r="D563" s="3"/>
    </row>
    <row r="564" ht="15.75" customHeight="1">
      <c r="A564" s="3"/>
      <c r="B564" s="3"/>
      <c r="C564" s="3"/>
      <c r="D564" s="3"/>
    </row>
    <row r="565" ht="15.75" customHeight="1">
      <c r="A565" s="3"/>
      <c r="B565" s="3"/>
      <c r="C565" s="3"/>
      <c r="D565" s="3"/>
    </row>
    <row r="566" ht="15.75" customHeight="1">
      <c r="A566" s="3"/>
      <c r="B566" s="3"/>
      <c r="C566" s="3"/>
      <c r="D566" s="3"/>
    </row>
    <row r="567" ht="15.75" customHeight="1">
      <c r="A567" s="3"/>
      <c r="B567" s="3"/>
      <c r="C567" s="3"/>
      <c r="D567" s="3"/>
    </row>
    <row r="568" ht="15.75" customHeight="1">
      <c r="A568" s="3"/>
      <c r="B568" s="3"/>
      <c r="C568" s="3"/>
      <c r="D568" s="3"/>
    </row>
    <row r="569" ht="15.75" customHeight="1">
      <c r="A569" s="3"/>
      <c r="B569" s="3"/>
      <c r="C569" s="3"/>
      <c r="D569" s="3"/>
    </row>
    <row r="570" ht="15.75" customHeight="1">
      <c r="A570" s="3"/>
      <c r="B570" s="3"/>
      <c r="C570" s="3"/>
      <c r="D570" s="3"/>
    </row>
    <row r="571" ht="15.75" customHeight="1">
      <c r="A571" s="3"/>
      <c r="B571" s="3"/>
      <c r="C571" s="3"/>
      <c r="D571" s="3"/>
    </row>
    <row r="572" ht="15.75" customHeight="1">
      <c r="A572" s="3"/>
      <c r="B572" s="3"/>
      <c r="C572" s="3"/>
      <c r="D572" s="3"/>
    </row>
    <row r="573" ht="15.75" customHeight="1">
      <c r="A573" s="3"/>
      <c r="B573" s="3"/>
      <c r="C573" s="3"/>
      <c r="D573" s="3"/>
    </row>
    <row r="574" ht="15.75" customHeight="1">
      <c r="A574" s="3"/>
      <c r="B574" s="3"/>
      <c r="C574" s="3"/>
      <c r="D574" s="3"/>
    </row>
    <row r="575" ht="15.75" customHeight="1">
      <c r="A575" s="3"/>
      <c r="B575" s="3"/>
      <c r="C575" s="3"/>
      <c r="D575" s="3"/>
    </row>
    <row r="576" ht="15.75" customHeight="1">
      <c r="A576" s="3"/>
      <c r="B576" s="3"/>
      <c r="C576" s="3"/>
      <c r="D576" s="3"/>
    </row>
    <row r="577" ht="15.75" customHeight="1">
      <c r="A577" s="3"/>
      <c r="B577" s="3"/>
      <c r="C577" s="3"/>
      <c r="D577" s="3"/>
    </row>
    <row r="578" ht="15.75" customHeight="1">
      <c r="A578" s="3"/>
      <c r="B578" s="3"/>
      <c r="C578" s="3"/>
      <c r="D578" s="3"/>
    </row>
    <row r="579" ht="15.75" customHeight="1">
      <c r="A579" s="3"/>
      <c r="B579" s="3"/>
      <c r="C579" s="3"/>
      <c r="D579" s="3"/>
    </row>
    <row r="580" ht="15.75" customHeight="1">
      <c r="A580" s="3"/>
      <c r="B580" s="3"/>
      <c r="C580" s="3"/>
      <c r="D580" s="3"/>
    </row>
    <row r="581" ht="15.75" customHeight="1">
      <c r="A581" s="3"/>
      <c r="B581" s="3"/>
      <c r="C581" s="3"/>
      <c r="D581" s="3"/>
    </row>
    <row r="582" ht="15.75" customHeight="1">
      <c r="A582" s="3"/>
      <c r="B582" s="3"/>
      <c r="C582" s="3"/>
      <c r="D582" s="3"/>
    </row>
    <row r="583" ht="15.75" customHeight="1">
      <c r="A583" s="3"/>
      <c r="B583" s="3"/>
      <c r="C583" s="3"/>
      <c r="D583" s="3"/>
    </row>
    <row r="584" ht="15.75" customHeight="1">
      <c r="A584" s="3"/>
      <c r="B584" s="3"/>
      <c r="C584" s="3"/>
      <c r="D584" s="3"/>
    </row>
    <row r="585" ht="15.75" customHeight="1">
      <c r="A585" s="3"/>
      <c r="B585" s="3"/>
      <c r="C585" s="3"/>
      <c r="D585" s="3"/>
    </row>
    <row r="586" ht="15.75" customHeight="1">
      <c r="A586" s="3"/>
      <c r="B586" s="3"/>
      <c r="C586" s="3"/>
      <c r="D586" s="3"/>
    </row>
    <row r="587" ht="15.75" customHeight="1">
      <c r="A587" s="3"/>
      <c r="B587" s="3"/>
      <c r="C587" s="3"/>
      <c r="D587" s="3"/>
    </row>
    <row r="588" ht="15.75" customHeight="1">
      <c r="A588" s="3"/>
      <c r="B588" s="3"/>
      <c r="C588" s="3"/>
      <c r="D588" s="3"/>
    </row>
    <row r="589" ht="15.75" customHeight="1">
      <c r="A589" s="3"/>
      <c r="B589" s="3"/>
      <c r="C589" s="3"/>
      <c r="D589" s="3"/>
    </row>
    <row r="590" ht="15.75" customHeight="1">
      <c r="A590" s="3"/>
      <c r="B590" s="3"/>
      <c r="C590" s="3"/>
      <c r="D590" s="3"/>
    </row>
    <row r="591" ht="15.75" customHeight="1">
      <c r="A591" s="3"/>
      <c r="B591" s="3"/>
      <c r="C591" s="3"/>
      <c r="D591" s="3"/>
    </row>
    <row r="592" ht="15.75" customHeight="1">
      <c r="A592" s="3"/>
      <c r="B592" s="3"/>
      <c r="C592" s="3"/>
      <c r="D592" s="3"/>
    </row>
    <row r="593" ht="15.75" customHeight="1">
      <c r="A593" s="3"/>
      <c r="B593" s="3"/>
      <c r="C593" s="3"/>
      <c r="D593" s="3"/>
    </row>
    <row r="594" ht="15.75" customHeight="1">
      <c r="A594" s="3"/>
      <c r="B594" s="3"/>
      <c r="C594" s="3"/>
      <c r="D594" s="3"/>
    </row>
    <row r="595" ht="15.75" customHeight="1">
      <c r="A595" s="3"/>
      <c r="B595" s="3"/>
      <c r="C595" s="3"/>
      <c r="D595" s="3"/>
    </row>
    <row r="596" ht="15.75" customHeight="1">
      <c r="A596" s="3"/>
      <c r="B596" s="3"/>
      <c r="C596" s="3"/>
      <c r="D596" s="3"/>
    </row>
    <row r="597" ht="15.75" customHeight="1">
      <c r="A597" s="3"/>
      <c r="B597" s="3"/>
      <c r="C597" s="3"/>
      <c r="D597" s="3"/>
    </row>
    <row r="598" ht="15.75" customHeight="1">
      <c r="A598" s="3"/>
      <c r="B598" s="3"/>
      <c r="C598" s="3"/>
      <c r="D598" s="3"/>
    </row>
    <row r="599" ht="15.75" customHeight="1">
      <c r="A599" s="3"/>
      <c r="B599" s="3"/>
      <c r="C599" s="3"/>
      <c r="D599" s="3"/>
    </row>
    <row r="600" ht="15.75" customHeight="1">
      <c r="A600" s="3"/>
      <c r="B600" s="3"/>
      <c r="C600" s="3"/>
      <c r="D600" s="3"/>
    </row>
    <row r="601" ht="15.75" customHeight="1">
      <c r="A601" s="3"/>
      <c r="B601" s="3"/>
      <c r="C601" s="3"/>
      <c r="D601" s="3"/>
    </row>
    <row r="602" ht="15.75" customHeight="1">
      <c r="A602" s="3"/>
      <c r="B602" s="3"/>
      <c r="C602" s="3"/>
      <c r="D602" s="3"/>
    </row>
    <row r="603" ht="15.75" customHeight="1">
      <c r="A603" s="3"/>
      <c r="B603" s="3"/>
      <c r="C603" s="3"/>
      <c r="D603" s="3"/>
    </row>
    <row r="604" ht="15.75" customHeight="1">
      <c r="A604" s="3"/>
      <c r="B604" s="3"/>
      <c r="C604" s="3"/>
      <c r="D604" s="3"/>
    </row>
    <row r="605" ht="15.75" customHeight="1">
      <c r="A605" s="3"/>
      <c r="B605" s="3"/>
      <c r="C605" s="3"/>
      <c r="D605" s="3"/>
    </row>
    <row r="606" ht="15.75" customHeight="1">
      <c r="A606" s="3"/>
      <c r="B606" s="3"/>
      <c r="C606" s="3"/>
      <c r="D606" s="3"/>
    </row>
    <row r="607" ht="15.75" customHeight="1">
      <c r="A607" s="3"/>
      <c r="B607" s="3"/>
      <c r="C607" s="3"/>
      <c r="D607" s="3"/>
    </row>
    <row r="608" ht="15.75" customHeight="1">
      <c r="A608" s="3"/>
      <c r="B608" s="3"/>
      <c r="C608" s="3"/>
      <c r="D608" s="3"/>
    </row>
    <row r="609" ht="15.75" customHeight="1">
      <c r="A609" s="3"/>
      <c r="B609" s="3"/>
      <c r="C609" s="3"/>
      <c r="D609" s="3"/>
    </row>
    <row r="610" ht="15.75" customHeight="1">
      <c r="A610" s="3"/>
      <c r="B610" s="3"/>
      <c r="C610" s="3"/>
      <c r="D610" s="3"/>
    </row>
    <row r="611" ht="15.75" customHeight="1">
      <c r="A611" s="3"/>
      <c r="B611" s="3"/>
      <c r="C611" s="3"/>
      <c r="D611" s="3"/>
    </row>
    <row r="612" ht="15.75" customHeight="1">
      <c r="A612" s="3"/>
      <c r="B612" s="3"/>
      <c r="C612" s="3"/>
      <c r="D612" s="3"/>
    </row>
    <row r="613" ht="15.75" customHeight="1">
      <c r="A613" s="3"/>
      <c r="B613" s="3"/>
      <c r="C613" s="3"/>
      <c r="D613" s="3"/>
    </row>
    <row r="614" ht="15.75" customHeight="1">
      <c r="A614" s="3"/>
      <c r="B614" s="3"/>
      <c r="C614" s="3"/>
      <c r="D614" s="3"/>
    </row>
    <row r="615" ht="15.75" customHeight="1">
      <c r="A615" s="3"/>
      <c r="B615" s="3"/>
      <c r="C615" s="3"/>
      <c r="D615" s="3"/>
    </row>
    <row r="616" ht="15.75" customHeight="1">
      <c r="A616" s="3"/>
      <c r="B616" s="3"/>
      <c r="C616" s="3"/>
      <c r="D616" s="3"/>
    </row>
    <row r="617" ht="15.75" customHeight="1">
      <c r="A617" s="3"/>
      <c r="B617" s="3"/>
      <c r="C617" s="3"/>
      <c r="D617" s="3"/>
    </row>
    <row r="618" ht="15.75" customHeight="1">
      <c r="A618" s="3"/>
      <c r="B618" s="3"/>
      <c r="C618" s="3"/>
      <c r="D618" s="3"/>
    </row>
    <row r="619" ht="15.75" customHeight="1">
      <c r="A619" s="3"/>
      <c r="B619" s="3"/>
      <c r="C619" s="3"/>
      <c r="D619" s="3"/>
    </row>
    <row r="620" ht="15.75" customHeight="1">
      <c r="A620" s="3"/>
      <c r="B620" s="3"/>
      <c r="C620" s="3"/>
      <c r="D620" s="3"/>
    </row>
    <row r="621" ht="15.75" customHeight="1">
      <c r="A621" s="3"/>
      <c r="B621" s="3"/>
      <c r="C621" s="3"/>
      <c r="D621" s="3"/>
    </row>
    <row r="622" ht="15.75" customHeight="1">
      <c r="A622" s="3"/>
      <c r="B622" s="3"/>
      <c r="C622" s="3"/>
      <c r="D622" s="3"/>
    </row>
    <row r="623" ht="15.75" customHeight="1">
      <c r="A623" s="3"/>
      <c r="B623" s="3"/>
      <c r="C623" s="3"/>
      <c r="D623" s="3"/>
    </row>
    <row r="624" ht="15.75" customHeight="1">
      <c r="A624" s="3"/>
      <c r="B624" s="3"/>
      <c r="C624" s="3"/>
      <c r="D624" s="3"/>
    </row>
    <row r="625" ht="15.75" customHeight="1">
      <c r="A625" s="3"/>
      <c r="B625" s="3"/>
      <c r="C625" s="3"/>
      <c r="D625" s="3"/>
    </row>
    <row r="626" ht="15.75" customHeight="1">
      <c r="A626" s="3"/>
      <c r="B626" s="3"/>
      <c r="C626" s="3"/>
      <c r="D626" s="3"/>
    </row>
    <row r="627" ht="15.75" customHeight="1">
      <c r="A627" s="3"/>
      <c r="B627" s="3"/>
      <c r="C627" s="3"/>
      <c r="D627" s="3"/>
    </row>
    <row r="628" ht="15.75" customHeight="1">
      <c r="A628" s="3"/>
      <c r="B628" s="3"/>
      <c r="C628" s="3"/>
      <c r="D628" s="3"/>
    </row>
    <row r="629" ht="15.75" customHeight="1">
      <c r="A629" s="3"/>
      <c r="B629" s="3"/>
      <c r="C629" s="3"/>
      <c r="D629" s="3"/>
    </row>
    <row r="630" ht="15.75" customHeight="1">
      <c r="A630" s="3"/>
      <c r="B630" s="3"/>
      <c r="C630" s="3"/>
      <c r="D630" s="3"/>
    </row>
    <row r="631" ht="15.75" customHeight="1">
      <c r="A631" s="3"/>
      <c r="B631" s="3"/>
      <c r="C631" s="3"/>
      <c r="D631" s="3"/>
    </row>
    <row r="632" ht="15.75" customHeight="1">
      <c r="A632" s="3"/>
      <c r="B632" s="3"/>
      <c r="C632" s="3"/>
      <c r="D632" s="3"/>
    </row>
    <row r="633" ht="15.75" customHeight="1">
      <c r="A633" s="3"/>
      <c r="B633" s="3"/>
      <c r="C633" s="3"/>
      <c r="D633" s="3"/>
    </row>
    <row r="634" ht="15.75" customHeight="1">
      <c r="A634" s="3"/>
      <c r="B634" s="3"/>
      <c r="C634" s="3"/>
      <c r="D634" s="3"/>
    </row>
    <row r="635" ht="15.75" customHeight="1">
      <c r="A635" s="3"/>
      <c r="B635" s="3"/>
      <c r="C635" s="3"/>
      <c r="D635" s="3"/>
    </row>
    <row r="636" ht="15.75" customHeight="1">
      <c r="A636" s="3"/>
      <c r="B636" s="3"/>
      <c r="C636" s="3"/>
      <c r="D636" s="3"/>
    </row>
    <row r="637" ht="15.75" customHeight="1">
      <c r="A637" s="3"/>
      <c r="B637" s="3"/>
      <c r="C637" s="3"/>
      <c r="D637" s="3"/>
    </row>
    <row r="638" ht="15.75" customHeight="1">
      <c r="A638" s="3"/>
      <c r="B638" s="3"/>
      <c r="C638" s="3"/>
      <c r="D638" s="3"/>
    </row>
    <row r="639" ht="15.75" customHeight="1">
      <c r="A639" s="3"/>
      <c r="B639" s="3"/>
      <c r="C639" s="3"/>
      <c r="D639" s="3"/>
    </row>
    <row r="640" ht="15.75" customHeight="1">
      <c r="A640" s="3"/>
      <c r="B640" s="3"/>
      <c r="C640" s="3"/>
      <c r="D640" s="3"/>
    </row>
    <row r="641" ht="15.75" customHeight="1">
      <c r="A641" s="3"/>
      <c r="B641" s="3"/>
      <c r="C641" s="3"/>
      <c r="D641" s="3"/>
    </row>
    <row r="642" ht="15.75" customHeight="1">
      <c r="A642" s="3"/>
      <c r="B642" s="3"/>
      <c r="C642" s="3"/>
      <c r="D642" s="3"/>
    </row>
    <row r="643" ht="15.75" customHeight="1">
      <c r="A643" s="3"/>
      <c r="B643" s="3"/>
      <c r="C643" s="3"/>
      <c r="D643" s="3"/>
    </row>
    <row r="644" ht="15.75" customHeight="1">
      <c r="A644" s="3"/>
      <c r="B644" s="3"/>
      <c r="C644" s="3"/>
      <c r="D644" s="3"/>
    </row>
    <row r="645" ht="15.75" customHeight="1">
      <c r="A645" s="3"/>
      <c r="B645" s="3"/>
      <c r="C645" s="3"/>
      <c r="D645" s="3"/>
    </row>
    <row r="646" ht="15.75" customHeight="1">
      <c r="A646" s="3"/>
      <c r="B646" s="3"/>
      <c r="C646" s="3"/>
      <c r="D646" s="3"/>
    </row>
    <row r="647" ht="15.75" customHeight="1">
      <c r="A647" s="3"/>
      <c r="B647" s="3"/>
      <c r="C647" s="3"/>
      <c r="D647" s="3"/>
    </row>
    <row r="648" ht="15.75" customHeight="1">
      <c r="A648" s="3"/>
      <c r="B648" s="3"/>
      <c r="C648" s="3"/>
      <c r="D648" s="3"/>
    </row>
    <row r="649" ht="15.75" customHeight="1">
      <c r="A649" s="3"/>
      <c r="B649" s="3"/>
      <c r="C649" s="3"/>
      <c r="D649" s="3"/>
    </row>
    <row r="650" ht="15.75" customHeight="1">
      <c r="A650" s="3"/>
      <c r="B650" s="3"/>
      <c r="C650" s="3"/>
      <c r="D650" s="3"/>
    </row>
    <row r="651" ht="15.75" customHeight="1">
      <c r="A651" s="3"/>
      <c r="B651" s="3"/>
      <c r="C651" s="3"/>
      <c r="D651" s="3"/>
    </row>
    <row r="652" ht="15.75" customHeight="1">
      <c r="A652" s="3"/>
      <c r="B652" s="3"/>
      <c r="C652" s="3"/>
      <c r="D652" s="3"/>
    </row>
    <row r="653" ht="15.75" customHeight="1">
      <c r="A653" s="3"/>
      <c r="B653" s="3"/>
      <c r="C653" s="3"/>
      <c r="D653" s="3"/>
    </row>
    <row r="654" ht="15.75" customHeight="1">
      <c r="A654" s="3"/>
      <c r="B654" s="3"/>
      <c r="C654" s="3"/>
      <c r="D654" s="3"/>
    </row>
    <row r="655" ht="15.75" customHeight="1">
      <c r="A655" s="3"/>
      <c r="B655" s="3"/>
      <c r="C655" s="3"/>
      <c r="D655" s="3"/>
    </row>
    <row r="656" ht="15.75" customHeight="1">
      <c r="A656" s="3"/>
      <c r="B656" s="3"/>
      <c r="C656" s="3"/>
      <c r="D656" s="3"/>
    </row>
    <row r="657" ht="15.75" customHeight="1">
      <c r="A657" s="3"/>
      <c r="B657" s="3"/>
      <c r="C657" s="3"/>
      <c r="D657" s="3"/>
    </row>
    <row r="658" ht="15.75" customHeight="1">
      <c r="A658" s="3"/>
      <c r="B658" s="3"/>
      <c r="C658" s="3"/>
      <c r="D658" s="3"/>
    </row>
    <row r="659" ht="15.75" customHeight="1">
      <c r="A659" s="3"/>
      <c r="B659" s="3"/>
      <c r="C659" s="3"/>
      <c r="D659" s="3"/>
    </row>
    <row r="660" ht="15.75" customHeight="1">
      <c r="A660" s="3"/>
      <c r="B660" s="3"/>
      <c r="C660" s="3"/>
      <c r="D660" s="3"/>
    </row>
    <row r="661" ht="15.75" customHeight="1">
      <c r="A661" s="3"/>
      <c r="B661" s="3"/>
      <c r="C661" s="3"/>
      <c r="D661" s="3"/>
    </row>
    <row r="662" ht="15.75" customHeight="1">
      <c r="A662" s="3"/>
      <c r="B662" s="3"/>
      <c r="C662" s="3"/>
      <c r="D662" s="3"/>
    </row>
    <row r="663" ht="15.75" customHeight="1">
      <c r="A663" s="3"/>
      <c r="B663" s="3"/>
      <c r="C663" s="3"/>
      <c r="D663" s="3"/>
    </row>
    <row r="664" ht="15.75" customHeight="1">
      <c r="A664" s="3"/>
      <c r="B664" s="3"/>
      <c r="C664" s="3"/>
      <c r="D664" s="3"/>
    </row>
    <row r="665" ht="15.75" customHeight="1">
      <c r="A665" s="3"/>
      <c r="B665" s="3"/>
      <c r="C665" s="3"/>
      <c r="D665" s="3"/>
    </row>
    <row r="666" ht="15.75" customHeight="1">
      <c r="A666" s="3"/>
      <c r="B666" s="3"/>
      <c r="C666" s="3"/>
      <c r="D666" s="3"/>
    </row>
    <row r="667" ht="15.75" customHeight="1">
      <c r="A667" s="3"/>
      <c r="B667" s="3"/>
      <c r="C667" s="3"/>
      <c r="D667" s="3"/>
    </row>
    <row r="668" ht="15.75" customHeight="1">
      <c r="A668" s="3"/>
      <c r="B668" s="3"/>
      <c r="C668" s="3"/>
      <c r="D668" s="3"/>
    </row>
    <row r="669" ht="15.75" customHeight="1">
      <c r="A669" s="3"/>
      <c r="B669" s="3"/>
      <c r="C669" s="3"/>
      <c r="D669" s="3"/>
    </row>
    <row r="670" ht="15.75" customHeight="1">
      <c r="A670" s="3"/>
      <c r="B670" s="3"/>
      <c r="C670" s="3"/>
      <c r="D670" s="3"/>
    </row>
    <row r="671" ht="15.75" customHeight="1">
      <c r="A671" s="3"/>
      <c r="B671" s="3"/>
      <c r="C671" s="3"/>
      <c r="D671" s="3"/>
    </row>
    <row r="672" ht="15.75" customHeight="1">
      <c r="A672" s="3"/>
      <c r="B672" s="3"/>
      <c r="C672" s="3"/>
      <c r="D672" s="3"/>
    </row>
    <row r="673" ht="15.75" customHeight="1">
      <c r="A673" s="3"/>
      <c r="B673" s="3"/>
      <c r="C673" s="3"/>
      <c r="D673" s="3"/>
    </row>
    <row r="674" ht="15.75" customHeight="1">
      <c r="A674" s="3"/>
      <c r="B674" s="3"/>
      <c r="C674" s="3"/>
      <c r="D674" s="3"/>
    </row>
    <row r="675" ht="15.75" customHeight="1">
      <c r="A675" s="3"/>
      <c r="B675" s="3"/>
      <c r="C675" s="3"/>
      <c r="D675" s="3"/>
    </row>
    <row r="676" ht="15.75" customHeight="1">
      <c r="A676" s="3"/>
      <c r="B676" s="3"/>
      <c r="C676" s="3"/>
      <c r="D676" s="3"/>
    </row>
    <row r="677" ht="15.75" customHeight="1">
      <c r="A677" s="3"/>
      <c r="B677" s="3"/>
      <c r="C677" s="3"/>
      <c r="D677" s="3"/>
    </row>
    <row r="678" ht="15.75" customHeight="1">
      <c r="A678" s="3"/>
      <c r="B678" s="3"/>
      <c r="C678" s="3"/>
      <c r="D678" s="3"/>
    </row>
    <row r="679" ht="15.75" customHeight="1">
      <c r="A679" s="3"/>
      <c r="B679" s="3"/>
      <c r="C679" s="3"/>
      <c r="D679" s="3"/>
    </row>
    <row r="680" ht="15.75" customHeight="1">
      <c r="A680" s="3"/>
      <c r="B680" s="3"/>
      <c r="C680" s="3"/>
      <c r="D680" s="3"/>
    </row>
    <row r="681" ht="15.75" customHeight="1">
      <c r="A681" s="3"/>
      <c r="B681" s="3"/>
      <c r="C681" s="3"/>
      <c r="D681" s="3"/>
    </row>
    <row r="682" ht="15.75" customHeight="1">
      <c r="A682" s="3"/>
      <c r="B682" s="3"/>
      <c r="C682" s="3"/>
      <c r="D682" s="3"/>
    </row>
    <row r="683" ht="15.75" customHeight="1">
      <c r="A683" s="3"/>
      <c r="B683" s="3"/>
      <c r="C683" s="3"/>
      <c r="D683" s="3"/>
    </row>
    <row r="684" ht="15.75" customHeight="1">
      <c r="A684" s="3"/>
      <c r="B684" s="3"/>
      <c r="C684" s="3"/>
      <c r="D684" s="3"/>
    </row>
    <row r="685" ht="15.75" customHeight="1">
      <c r="A685" s="3"/>
      <c r="B685" s="3"/>
      <c r="C685" s="3"/>
      <c r="D685" s="3"/>
    </row>
    <row r="686" ht="15.75" customHeight="1">
      <c r="A686" s="3"/>
      <c r="B686" s="3"/>
      <c r="C686" s="3"/>
      <c r="D686" s="3"/>
    </row>
    <row r="687" ht="15.75" customHeight="1">
      <c r="A687" s="3"/>
      <c r="B687" s="3"/>
      <c r="C687" s="3"/>
      <c r="D687" s="3"/>
    </row>
    <row r="688" ht="15.75" customHeight="1">
      <c r="A688" s="3"/>
      <c r="B688" s="3"/>
      <c r="C688" s="3"/>
      <c r="D688" s="3"/>
    </row>
    <row r="689" ht="15.75" customHeight="1">
      <c r="A689" s="3"/>
      <c r="B689" s="3"/>
      <c r="C689" s="3"/>
      <c r="D689" s="3"/>
    </row>
    <row r="690" ht="15.75" customHeight="1">
      <c r="A690" s="3"/>
      <c r="B690" s="3"/>
      <c r="C690" s="3"/>
      <c r="D690" s="3"/>
    </row>
    <row r="691" ht="15.75" customHeight="1">
      <c r="A691" s="3"/>
      <c r="B691" s="3"/>
      <c r="C691" s="3"/>
      <c r="D691" s="3"/>
    </row>
    <row r="692" ht="15.75" customHeight="1">
      <c r="A692" s="3"/>
      <c r="B692" s="3"/>
      <c r="C692" s="3"/>
      <c r="D692" s="3"/>
    </row>
    <row r="693" ht="15.75" customHeight="1">
      <c r="A693" s="3"/>
      <c r="B693" s="3"/>
      <c r="C693" s="3"/>
      <c r="D693" s="3"/>
    </row>
    <row r="694" ht="15.75" customHeight="1">
      <c r="A694" s="3"/>
      <c r="B694" s="3"/>
      <c r="C694" s="3"/>
      <c r="D694" s="3"/>
    </row>
    <row r="695" ht="15.75" customHeight="1">
      <c r="A695" s="3"/>
      <c r="B695" s="3"/>
      <c r="C695" s="3"/>
      <c r="D695" s="3"/>
    </row>
    <row r="696" ht="15.75" customHeight="1">
      <c r="A696" s="3"/>
      <c r="B696" s="3"/>
      <c r="C696" s="3"/>
      <c r="D696" s="3"/>
    </row>
    <row r="697" ht="15.75" customHeight="1">
      <c r="A697" s="3"/>
      <c r="B697" s="3"/>
      <c r="C697" s="3"/>
      <c r="D697" s="3"/>
    </row>
    <row r="698" ht="15.75" customHeight="1">
      <c r="A698" s="3"/>
      <c r="B698" s="3"/>
      <c r="C698" s="3"/>
      <c r="D698" s="3"/>
    </row>
    <row r="699" ht="15.75" customHeight="1">
      <c r="A699" s="3"/>
      <c r="B699" s="3"/>
      <c r="C699" s="3"/>
      <c r="D699" s="3"/>
    </row>
    <row r="700" ht="15.75" customHeight="1">
      <c r="A700" s="3"/>
      <c r="B700" s="3"/>
      <c r="C700" s="3"/>
      <c r="D700" s="3"/>
    </row>
    <row r="701" ht="15.75" customHeight="1">
      <c r="A701" s="3"/>
      <c r="B701" s="3"/>
      <c r="C701" s="3"/>
      <c r="D701" s="3"/>
    </row>
    <row r="702" ht="15.75" customHeight="1">
      <c r="A702" s="3"/>
      <c r="B702" s="3"/>
      <c r="C702" s="3"/>
      <c r="D702" s="3"/>
    </row>
    <row r="703" ht="15.75" customHeight="1">
      <c r="A703" s="3"/>
      <c r="B703" s="3"/>
      <c r="C703" s="3"/>
      <c r="D703" s="3"/>
    </row>
    <row r="704" ht="15.75" customHeight="1">
      <c r="A704" s="3"/>
      <c r="B704" s="3"/>
      <c r="C704" s="3"/>
      <c r="D704" s="3"/>
    </row>
    <row r="705" ht="15.75" customHeight="1">
      <c r="A705" s="3"/>
      <c r="B705" s="3"/>
      <c r="C705" s="3"/>
      <c r="D705" s="3"/>
    </row>
    <row r="706" ht="15.75" customHeight="1">
      <c r="A706" s="3"/>
      <c r="B706" s="3"/>
      <c r="C706" s="3"/>
      <c r="D706" s="3"/>
    </row>
    <row r="707" ht="15.75" customHeight="1">
      <c r="A707" s="3"/>
      <c r="B707" s="3"/>
      <c r="C707" s="3"/>
      <c r="D707" s="3"/>
    </row>
    <row r="708" ht="15.75" customHeight="1">
      <c r="A708" s="3"/>
      <c r="B708" s="3"/>
      <c r="C708" s="3"/>
      <c r="D708" s="3"/>
    </row>
    <row r="709" ht="15.75" customHeight="1">
      <c r="A709" s="3"/>
      <c r="B709" s="3"/>
      <c r="C709" s="3"/>
      <c r="D709" s="3"/>
    </row>
    <row r="710" ht="15.75" customHeight="1">
      <c r="A710" s="3"/>
      <c r="B710" s="3"/>
      <c r="C710" s="3"/>
      <c r="D710" s="3"/>
    </row>
    <row r="711" ht="15.75" customHeight="1">
      <c r="A711" s="3"/>
      <c r="B711" s="3"/>
      <c r="C711" s="3"/>
      <c r="D711" s="3"/>
    </row>
    <row r="712" ht="15.75" customHeight="1">
      <c r="A712" s="3"/>
      <c r="B712" s="3"/>
      <c r="C712" s="3"/>
      <c r="D712" s="3"/>
    </row>
    <row r="713" ht="15.75" customHeight="1">
      <c r="A713" s="3"/>
      <c r="B713" s="3"/>
      <c r="C713" s="3"/>
      <c r="D713" s="3"/>
    </row>
    <row r="714" ht="15.75" customHeight="1">
      <c r="A714" s="3"/>
      <c r="B714" s="3"/>
      <c r="C714" s="3"/>
      <c r="D714" s="3"/>
    </row>
    <row r="715" ht="15.75" customHeight="1">
      <c r="A715" s="3"/>
      <c r="B715" s="3"/>
      <c r="C715" s="3"/>
      <c r="D715" s="3"/>
    </row>
    <row r="716" ht="15.75" customHeight="1">
      <c r="A716" s="3"/>
      <c r="B716" s="3"/>
      <c r="C716" s="3"/>
      <c r="D716" s="3"/>
    </row>
    <row r="717" ht="15.75" customHeight="1">
      <c r="A717" s="3"/>
      <c r="B717" s="3"/>
      <c r="C717" s="3"/>
      <c r="D717" s="3"/>
    </row>
    <row r="718" ht="15.75" customHeight="1">
      <c r="A718" s="3"/>
      <c r="B718" s="3"/>
      <c r="C718" s="3"/>
      <c r="D718" s="3"/>
    </row>
    <row r="719" ht="15.75" customHeight="1">
      <c r="A719" s="3"/>
      <c r="B719" s="3"/>
      <c r="C719" s="3"/>
      <c r="D719" s="3"/>
    </row>
    <row r="720" ht="15.75" customHeight="1">
      <c r="A720" s="3"/>
      <c r="B720" s="3"/>
      <c r="C720" s="3"/>
      <c r="D720" s="3"/>
    </row>
    <row r="721" ht="15.75" customHeight="1">
      <c r="A721" s="3"/>
      <c r="B721" s="3"/>
      <c r="C721" s="3"/>
      <c r="D721" s="3"/>
    </row>
    <row r="722" ht="15.75" customHeight="1">
      <c r="A722" s="3"/>
      <c r="B722" s="3"/>
      <c r="C722" s="3"/>
      <c r="D722" s="3"/>
    </row>
    <row r="723" ht="15.75" customHeight="1">
      <c r="A723" s="3"/>
      <c r="B723" s="3"/>
      <c r="C723" s="3"/>
      <c r="D723" s="3"/>
    </row>
    <row r="724" ht="15.75" customHeight="1">
      <c r="A724" s="3"/>
      <c r="B724" s="3"/>
      <c r="C724" s="3"/>
      <c r="D724" s="3"/>
    </row>
    <row r="725" ht="15.75" customHeight="1">
      <c r="A725" s="3"/>
      <c r="B725" s="3"/>
      <c r="C725" s="3"/>
      <c r="D725" s="3"/>
    </row>
    <row r="726" ht="15.75" customHeight="1">
      <c r="A726" s="3"/>
      <c r="B726" s="3"/>
      <c r="C726" s="3"/>
      <c r="D726" s="3"/>
    </row>
    <row r="727" ht="15.75" customHeight="1">
      <c r="A727" s="3"/>
      <c r="B727" s="3"/>
      <c r="C727" s="3"/>
      <c r="D727" s="3"/>
    </row>
    <row r="728" ht="15.75" customHeight="1">
      <c r="A728" s="3"/>
      <c r="B728" s="3"/>
      <c r="C728" s="3"/>
      <c r="D728" s="3"/>
    </row>
    <row r="729" ht="15.75" customHeight="1">
      <c r="A729" s="3"/>
      <c r="B729" s="3"/>
      <c r="C729" s="3"/>
      <c r="D729" s="3"/>
    </row>
    <row r="730" ht="15.75" customHeight="1">
      <c r="A730" s="3"/>
      <c r="B730" s="3"/>
      <c r="C730" s="3"/>
      <c r="D730" s="3"/>
    </row>
    <row r="731" ht="15.75" customHeight="1">
      <c r="A731" s="3"/>
      <c r="B731" s="3"/>
      <c r="C731" s="3"/>
      <c r="D731" s="3"/>
    </row>
    <row r="732" ht="15.75" customHeight="1">
      <c r="A732" s="3"/>
      <c r="B732" s="3"/>
      <c r="C732" s="3"/>
      <c r="D732" s="3"/>
    </row>
    <row r="733" ht="15.75" customHeight="1">
      <c r="A733" s="3"/>
      <c r="B733" s="3"/>
      <c r="C733" s="3"/>
      <c r="D733" s="3"/>
    </row>
    <row r="734" ht="15.75" customHeight="1">
      <c r="A734" s="3"/>
      <c r="B734" s="3"/>
      <c r="C734" s="3"/>
      <c r="D734" s="3"/>
    </row>
    <row r="735" ht="15.75" customHeight="1">
      <c r="A735" s="3"/>
      <c r="B735" s="3"/>
      <c r="C735" s="3"/>
      <c r="D735" s="3"/>
    </row>
    <row r="736" ht="15.75" customHeight="1">
      <c r="A736" s="3"/>
      <c r="B736" s="3"/>
      <c r="C736" s="3"/>
      <c r="D736" s="3"/>
    </row>
    <row r="737" ht="15.75" customHeight="1">
      <c r="A737" s="3"/>
      <c r="B737" s="3"/>
      <c r="C737" s="3"/>
      <c r="D737" s="3"/>
    </row>
    <row r="738" ht="15.75" customHeight="1">
      <c r="A738" s="3"/>
      <c r="B738" s="3"/>
      <c r="C738" s="3"/>
      <c r="D738" s="3"/>
    </row>
    <row r="739" ht="15.75" customHeight="1">
      <c r="A739" s="3"/>
      <c r="B739" s="3"/>
      <c r="C739" s="3"/>
      <c r="D739" s="3"/>
    </row>
    <row r="740" ht="15.75" customHeight="1">
      <c r="A740" s="3"/>
      <c r="B740" s="3"/>
      <c r="C740" s="3"/>
      <c r="D740" s="3"/>
    </row>
    <row r="741" ht="15.75" customHeight="1">
      <c r="A741" s="3"/>
      <c r="B741" s="3"/>
      <c r="C741" s="3"/>
      <c r="D741" s="3"/>
    </row>
    <row r="742" ht="15.75" customHeight="1">
      <c r="A742" s="3"/>
      <c r="B742" s="3"/>
      <c r="C742" s="3"/>
      <c r="D742" s="3"/>
    </row>
    <row r="743" ht="15.75" customHeight="1">
      <c r="A743" s="3"/>
      <c r="B743" s="3"/>
      <c r="C743" s="3"/>
      <c r="D743" s="3"/>
    </row>
    <row r="744" ht="15.75" customHeight="1">
      <c r="A744" s="3"/>
      <c r="B744" s="3"/>
      <c r="C744" s="3"/>
      <c r="D744" s="3"/>
    </row>
    <row r="745" ht="15.75" customHeight="1">
      <c r="A745" s="3"/>
      <c r="B745" s="3"/>
      <c r="C745" s="3"/>
      <c r="D745" s="3"/>
    </row>
    <row r="746" ht="15.75" customHeight="1">
      <c r="A746" s="3"/>
      <c r="B746" s="3"/>
      <c r="C746" s="3"/>
      <c r="D746" s="3"/>
    </row>
    <row r="747" ht="15.75" customHeight="1">
      <c r="A747" s="3"/>
      <c r="B747" s="3"/>
      <c r="C747" s="3"/>
      <c r="D747" s="3"/>
    </row>
    <row r="748" ht="15.75" customHeight="1">
      <c r="A748" s="3"/>
      <c r="B748" s="3"/>
      <c r="C748" s="3"/>
      <c r="D748" s="3"/>
    </row>
    <row r="749" ht="15.75" customHeight="1">
      <c r="A749" s="3"/>
      <c r="B749" s="3"/>
      <c r="C749" s="3"/>
      <c r="D749" s="3"/>
    </row>
    <row r="750" ht="15.75" customHeight="1">
      <c r="A750" s="3"/>
      <c r="B750" s="3"/>
      <c r="C750" s="3"/>
      <c r="D750" s="3"/>
    </row>
    <row r="751" ht="15.75" customHeight="1">
      <c r="A751" s="3"/>
      <c r="B751" s="3"/>
      <c r="C751" s="3"/>
      <c r="D751" s="3"/>
    </row>
    <row r="752" ht="15.75" customHeight="1">
      <c r="A752" s="3"/>
      <c r="B752" s="3"/>
      <c r="C752" s="3"/>
      <c r="D752" s="3"/>
    </row>
    <row r="753" ht="15.75" customHeight="1">
      <c r="A753" s="3"/>
      <c r="B753" s="3"/>
      <c r="C753" s="3"/>
      <c r="D753" s="3"/>
    </row>
    <row r="754" ht="15.75" customHeight="1">
      <c r="A754" s="3"/>
      <c r="B754" s="3"/>
      <c r="C754" s="3"/>
      <c r="D754" s="3"/>
    </row>
    <row r="755" ht="15.75" customHeight="1">
      <c r="A755" s="3"/>
      <c r="B755" s="3"/>
      <c r="C755" s="3"/>
      <c r="D755" s="3"/>
    </row>
    <row r="756" ht="15.75" customHeight="1">
      <c r="A756" s="3"/>
      <c r="B756" s="3"/>
      <c r="C756" s="3"/>
      <c r="D756" s="3"/>
    </row>
    <row r="757" ht="15.75" customHeight="1">
      <c r="A757" s="3"/>
      <c r="B757" s="3"/>
      <c r="C757" s="3"/>
      <c r="D757" s="3"/>
    </row>
    <row r="758" ht="15.75" customHeight="1">
      <c r="A758" s="3"/>
      <c r="B758" s="3"/>
      <c r="C758" s="3"/>
      <c r="D758" s="3"/>
    </row>
    <row r="759" ht="15.75" customHeight="1">
      <c r="A759" s="3"/>
      <c r="B759" s="3"/>
      <c r="C759" s="3"/>
      <c r="D759" s="3"/>
    </row>
    <row r="760" ht="15.75" customHeight="1">
      <c r="A760" s="3"/>
      <c r="B760" s="3"/>
      <c r="C760" s="3"/>
      <c r="D760" s="3"/>
    </row>
    <row r="761" ht="15.75" customHeight="1">
      <c r="A761" s="3"/>
      <c r="B761" s="3"/>
      <c r="C761" s="3"/>
      <c r="D761" s="3"/>
    </row>
    <row r="762" ht="15.75" customHeight="1">
      <c r="A762" s="3"/>
      <c r="B762" s="3"/>
      <c r="C762" s="3"/>
      <c r="D762" s="3"/>
    </row>
    <row r="763" ht="15.75" customHeight="1">
      <c r="A763" s="3"/>
      <c r="B763" s="3"/>
      <c r="C763" s="3"/>
      <c r="D763" s="3"/>
    </row>
    <row r="764" ht="15.75" customHeight="1">
      <c r="A764" s="3"/>
      <c r="B764" s="3"/>
      <c r="C764" s="3"/>
      <c r="D764" s="3"/>
    </row>
    <row r="765" ht="15.75" customHeight="1">
      <c r="A765" s="3"/>
      <c r="B765" s="3"/>
      <c r="C765" s="3"/>
      <c r="D765" s="3"/>
    </row>
    <row r="766" ht="15.75" customHeight="1">
      <c r="A766" s="3"/>
      <c r="B766" s="3"/>
      <c r="C766" s="3"/>
      <c r="D766" s="3"/>
    </row>
    <row r="767" ht="15.75" customHeight="1">
      <c r="A767" s="3"/>
      <c r="B767" s="3"/>
      <c r="C767" s="3"/>
      <c r="D767" s="3"/>
    </row>
    <row r="768" ht="15.75" customHeight="1">
      <c r="A768" s="3"/>
      <c r="B768" s="3"/>
      <c r="C768" s="3"/>
      <c r="D768" s="3"/>
    </row>
    <row r="769" ht="15.75" customHeight="1">
      <c r="A769" s="3"/>
      <c r="B769" s="3"/>
      <c r="C769" s="3"/>
      <c r="D769" s="3"/>
    </row>
    <row r="770" ht="15.75" customHeight="1">
      <c r="A770" s="3"/>
      <c r="B770" s="3"/>
      <c r="C770" s="3"/>
      <c r="D770" s="3"/>
    </row>
    <row r="771" ht="15.75" customHeight="1">
      <c r="A771" s="3"/>
      <c r="B771" s="3"/>
      <c r="C771" s="3"/>
      <c r="D771" s="3"/>
    </row>
    <row r="772" ht="15.75" customHeight="1">
      <c r="A772" s="3"/>
      <c r="B772" s="3"/>
      <c r="C772" s="3"/>
      <c r="D772" s="3"/>
    </row>
    <row r="773" ht="15.75" customHeight="1">
      <c r="A773" s="3"/>
      <c r="B773" s="3"/>
      <c r="C773" s="3"/>
      <c r="D773" s="3"/>
    </row>
    <row r="774" ht="15.75" customHeight="1">
      <c r="A774" s="3"/>
      <c r="B774" s="3"/>
      <c r="C774" s="3"/>
      <c r="D774" s="3"/>
    </row>
    <row r="775" ht="15.75" customHeight="1">
      <c r="A775" s="3"/>
      <c r="B775" s="3"/>
      <c r="C775" s="3"/>
      <c r="D775" s="3"/>
    </row>
    <row r="776" ht="15.75" customHeight="1">
      <c r="A776" s="3"/>
      <c r="B776" s="3"/>
      <c r="C776" s="3"/>
      <c r="D776" s="3"/>
    </row>
    <row r="777" ht="15.75" customHeight="1">
      <c r="A777" s="3"/>
      <c r="B777" s="3"/>
      <c r="C777" s="3"/>
      <c r="D777" s="3"/>
    </row>
    <row r="778" ht="15.75" customHeight="1">
      <c r="A778" s="3"/>
      <c r="B778" s="3"/>
      <c r="C778" s="3"/>
      <c r="D778" s="3"/>
    </row>
    <row r="779" ht="15.75" customHeight="1">
      <c r="A779" s="3"/>
      <c r="B779" s="3"/>
      <c r="C779" s="3"/>
      <c r="D779" s="3"/>
    </row>
    <row r="780" ht="15.75" customHeight="1">
      <c r="A780" s="3"/>
      <c r="B780" s="3"/>
      <c r="C780" s="3"/>
      <c r="D780" s="3"/>
    </row>
    <row r="781" ht="15.75" customHeight="1">
      <c r="A781" s="3"/>
      <c r="B781" s="3"/>
      <c r="C781" s="3"/>
      <c r="D781" s="3"/>
    </row>
    <row r="782" ht="15.75" customHeight="1">
      <c r="A782" s="3"/>
      <c r="B782" s="3"/>
      <c r="C782" s="3"/>
      <c r="D782" s="3"/>
    </row>
    <row r="783" ht="15.75" customHeight="1">
      <c r="A783" s="3"/>
      <c r="B783" s="3"/>
      <c r="C783" s="3"/>
      <c r="D783" s="3"/>
    </row>
    <row r="784" ht="15.75" customHeight="1">
      <c r="A784" s="3"/>
      <c r="B784" s="3"/>
      <c r="C784" s="3"/>
      <c r="D784" s="3"/>
    </row>
    <row r="785" ht="15.75" customHeight="1">
      <c r="A785" s="3"/>
      <c r="B785" s="3"/>
      <c r="C785" s="3"/>
      <c r="D785" s="3"/>
    </row>
    <row r="786" ht="15.75" customHeight="1">
      <c r="A786" s="3"/>
      <c r="B786" s="3"/>
      <c r="C786" s="3"/>
      <c r="D786" s="3"/>
    </row>
    <row r="787" ht="15.75" customHeight="1">
      <c r="A787" s="3"/>
      <c r="B787" s="3"/>
      <c r="C787" s="3"/>
      <c r="D787" s="3"/>
    </row>
    <row r="788" ht="15.75" customHeight="1">
      <c r="A788" s="3"/>
      <c r="B788" s="3"/>
      <c r="C788" s="3"/>
      <c r="D788" s="3"/>
    </row>
    <row r="789" ht="15.75" customHeight="1">
      <c r="A789" s="3"/>
      <c r="B789" s="3"/>
      <c r="C789" s="3"/>
      <c r="D789" s="3"/>
    </row>
    <row r="790" ht="15.75" customHeight="1">
      <c r="A790" s="3"/>
      <c r="B790" s="3"/>
      <c r="C790" s="3"/>
      <c r="D790" s="3"/>
    </row>
    <row r="791" ht="15.75" customHeight="1">
      <c r="A791" s="3"/>
      <c r="B791" s="3"/>
      <c r="C791" s="3"/>
      <c r="D791" s="3"/>
    </row>
    <row r="792" ht="15.75" customHeight="1">
      <c r="A792" s="3"/>
      <c r="B792" s="3"/>
      <c r="C792" s="3"/>
      <c r="D792" s="3"/>
    </row>
    <row r="793" ht="15.75" customHeight="1">
      <c r="A793" s="3"/>
      <c r="B793" s="3"/>
      <c r="C793" s="3"/>
      <c r="D793" s="3"/>
    </row>
    <row r="794" ht="15.75" customHeight="1">
      <c r="A794" s="3"/>
      <c r="B794" s="3"/>
      <c r="C794" s="3"/>
      <c r="D794" s="3"/>
    </row>
    <row r="795" ht="15.75" customHeight="1">
      <c r="A795" s="3"/>
      <c r="B795" s="3"/>
      <c r="C795" s="3"/>
      <c r="D795" s="3"/>
    </row>
    <row r="796" ht="15.75" customHeight="1">
      <c r="A796" s="3"/>
      <c r="B796" s="3"/>
      <c r="C796" s="3"/>
      <c r="D796" s="3"/>
    </row>
    <row r="797" ht="15.75" customHeight="1">
      <c r="A797" s="3"/>
      <c r="B797" s="3"/>
      <c r="C797" s="3"/>
      <c r="D797" s="3"/>
    </row>
    <row r="798" ht="15.75" customHeight="1">
      <c r="A798" s="3"/>
      <c r="B798" s="3"/>
      <c r="C798" s="3"/>
      <c r="D798" s="3"/>
    </row>
    <row r="799" ht="15.75" customHeight="1">
      <c r="A799" s="3"/>
      <c r="B799" s="3"/>
      <c r="C799" s="3"/>
      <c r="D799" s="3"/>
    </row>
    <row r="800" ht="15.75" customHeight="1">
      <c r="A800" s="3"/>
      <c r="B800" s="3"/>
      <c r="C800" s="3"/>
      <c r="D800" s="3"/>
    </row>
    <row r="801" ht="15.75" customHeight="1">
      <c r="A801" s="3"/>
      <c r="B801" s="3"/>
      <c r="C801" s="3"/>
      <c r="D801" s="3"/>
    </row>
    <row r="802" ht="15.75" customHeight="1">
      <c r="A802" s="3"/>
      <c r="B802" s="3"/>
      <c r="C802" s="3"/>
      <c r="D802" s="3"/>
    </row>
    <row r="803" ht="15.75" customHeight="1">
      <c r="A803" s="3"/>
      <c r="B803" s="3"/>
      <c r="C803" s="3"/>
      <c r="D803" s="3"/>
    </row>
    <row r="804" ht="15.75" customHeight="1">
      <c r="A804" s="3"/>
      <c r="B804" s="3"/>
      <c r="C804" s="3"/>
      <c r="D804" s="3"/>
    </row>
    <row r="805" ht="15.75" customHeight="1">
      <c r="A805" s="3"/>
      <c r="B805" s="3"/>
      <c r="C805" s="3"/>
      <c r="D805" s="3"/>
    </row>
    <row r="806" ht="15.75" customHeight="1">
      <c r="A806" s="3"/>
      <c r="B806" s="3"/>
      <c r="C806" s="3"/>
      <c r="D806" s="3"/>
    </row>
    <row r="807" ht="15.75" customHeight="1">
      <c r="A807" s="3"/>
      <c r="B807" s="3"/>
      <c r="C807" s="3"/>
      <c r="D807" s="3"/>
    </row>
    <row r="808" ht="15.75" customHeight="1">
      <c r="A808" s="3"/>
      <c r="B808" s="3"/>
      <c r="C808" s="3"/>
      <c r="D808" s="3"/>
    </row>
    <row r="809" ht="15.75" customHeight="1">
      <c r="A809" s="3"/>
      <c r="B809" s="3"/>
      <c r="C809" s="3"/>
      <c r="D809" s="3"/>
    </row>
    <row r="810" ht="15.75" customHeight="1">
      <c r="A810" s="3"/>
      <c r="B810" s="3"/>
      <c r="C810" s="3"/>
      <c r="D810" s="3"/>
    </row>
    <row r="811" ht="15.75" customHeight="1">
      <c r="A811" s="3"/>
      <c r="B811" s="3"/>
      <c r="C811" s="3"/>
      <c r="D811" s="3"/>
    </row>
    <row r="812" ht="15.75" customHeight="1">
      <c r="A812" s="3"/>
      <c r="B812" s="3"/>
      <c r="C812" s="3"/>
      <c r="D812" s="3"/>
    </row>
    <row r="813" ht="15.75" customHeight="1">
      <c r="A813" s="3"/>
      <c r="B813" s="3"/>
      <c r="C813" s="3"/>
      <c r="D813" s="3"/>
    </row>
    <row r="814" ht="15.75" customHeight="1">
      <c r="A814" s="3"/>
      <c r="B814" s="3"/>
      <c r="C814" s="3"/>
      <c r="D814" s="3"/>
    </row>
    <row r="815" ht="15.75" customHeight="1">
      <c r="A815" s="3"/>
      <c r="B815" s="3"/>
      <c r="C815" s="3"/>
      <c r="D815" s="3"/>
    </row>
    <row r="816" ht="15.75" customHeight="1">
      <c r="A816" s="3"/>
      <c r="B816" s="3"/>
      <c r="C816" s="3"/>
      <c r="D816" s="3"/>
    </row>
    <row r="817" ht="15.75" customHeight="1">
      <c r="A817" s="3"/>
      <c r="B817" s="3"/>
      <c r="C817" s="3"/>
      <c r="D817" s="3"/>
    </row>
    <row r="818" ht="15.75" customHeight="1">
      <c r="A818" s="3"/>
      <c r="B818" s="3"/>
      <c r="C818" s="3"/>
      <c r="D818" s="3"/>
    </row>
    <row r="819" ht="15.75" customHeight="1">
      <c r="A819" s="3"/>
      <c r="B819" s="3"/>
      <c r="C819" s="3"/>
      <c r="D819" s="3"/>
    </row>
    <row r="820" ht="15.75" customHeight="1">
      <c r="A820" s="3"/>
      <c r="B820" s="3"/>
      <c r="C820" s="3"/>
      <c r="D820" s="3"/>
    </row>
    <row r="821" ht="15.75" customHeight="1">
      <c r="A821" s="3"/>
      <c r="B821" s="3"/>
      <c r="C821" s="3"/>
      <c r="D821" s="3"/>
    </row>
    <row r="822" ht="15.75" customHeight="1">
      <c r="A822" s="3"/>
      <c r="B822" s="3"/>
      <c r="C822" s="3"/>
      <c r="D822" s="3"/>
    </row>
    <row r="823" ht="15.75" customHeight="1">
      <c r="A823" s="3"/>
      <c r="B823" s="3"/>
      <c r="C823" s="3"/>
      <c r="D823" s="3"/>
    </row>
    <row r="824" ht="15.75" customHeight="1">
      <c r="A824" s="3"/>
      <c r="B824" s="3"/>
      <c r="C824" s="3"/>
      <c r="D824" s="3"/>
    </row>
    <row r="825" ht="15.75" customHeight="1">
      <c r="A825" s="3"/>
      <c r="B825" s="3"/>
      <c r="C825" s="3"/>
      <c r="D825" s="3"/>
    </row>
    <row r="826" ht="15.75" customHeight="1">
      <c r="A826" s="3"/>
      <c r="B826" s="3"/>
      <c r="C826" s="3"/>
      <c r="D826" s="3"/>
    </row>
    <row r="827" ht="15.75" customHeight="1">
      <c r="A827" s="3"/>
      <c r="B827" s="3"/>
      <c r="C827" s="3"/>
      <c r="D827" s="3"/>
    </row>
    <row r="828" ht="15.75" customHeight="1">
      <c r="A828" s="3"/>
      <c r="B828" s="3"/>
      <c r="C828" s="3"/>
      <c r="D828" s="3"/>
    </row>
    <row r="829" ht="15.75" customHeight="1">
      <c r="A829" s="3"/>
      <c r="B829" s="3"/>
      <c r="C829" s="3"/>
      <c r="D829" s="3"/>
    </row>
    <row r="830" ht="15.75" customHeight="1">
      <c r="A830" s="3"/>
      <c r="B830" s="3"/>
      <c r="C830" s="3"/>
      <c r="D830" s="3"/>
    </row>
    <row r="831" ht="15.75" customHeight="1">
      <c r="A831" s="3"/>
      <c r="B831" s="3"/>
      <c r="C831" s="3"/>
      <c r="D831" s="3"/>
    </row>
    <row r="832" ht="15.75" customHeight="1">
      <c r="A832" s="3"/>
      <c r="B832" s="3"/>
      <c r="C832" s="3"/>
      <c r="D832" s="3"/>
    </row>
    <row r="833" ht="15.75" customHeight="1">
      <c r="A833" s="3"/>
      <c r="B833" s="3"/>
      <c r="C833" s="3"/>
      <c r="D833" s="3"/>
    </row>
    <row r="834" ht="15.75" customHeight="1">
      <c r="A834" s="3"/>
      <c r="B834" s="3"/>
      <c r="C834" s="3"/>
      <c r="D834" s="3"/>
    </row>
    <row r="835" ht="15.75" customHeight="1">
      <c r="A835" s="3"/>
      <c r="B835" s="3"/>
      <c r="C835" s="3"/>
      <c r="D835" s="3"/>
    </row>
    <row r="836" ht="15.75" customHeight="1">
      <c r="A836" s="3"/>
      <c r="B836" s="3"/>
      <c r="C836" s="3"/>
      <c r="D836" s="3"/>
    </row>
    <row r="837" ht="15.75" customHeight="1">
      <c r="A837" s="3"/>
      <c r="B837" s="3"/>
      <c r="C837" s="3"/>
      <c r="D837" s="3"/>
    </row>
    <row r="838" ht="15.75" customHeight="1">
      <c r="A838" s="3"/>
      <c r="B838" s="3"/>
      <c r="C838" s="3"/>
      <c r="D838" s="3"/>
    </row>
    <row r="839" ht="15.75" customHeight="1">
      <c r="A839" s="3"/>
      <c r="B839" s="3"/>
      <c r="C839" s="3"/>
      <c r="D839" s="3"/>
    </row>
    <row r="840" ht="15.75" customHeight="1">
      <c r="A840" s="3"/>
      <c r="B840" s="3"/>
      <c r="C840" s="3"/>
      <c r="D840" s="3"/>
    </row>
    <row r="841" ht="15.75" customHeight="1">
      <c r="A841" s="3"/>
      <c r="B841" s="3"/>
      <c r="C841" s="3"/>
      <c r="D841" s="3"/>
    </row>
    <row r="842" ht="15.75" customHeight="1">
      <c r="A842" s="3"/>
      <c r="B842" s="3"/>
      <c r="C842" s="3"/>
      <c r="D842" s="3"/>
    </row>
    <row r="843" ht="15.75" customHeight="1">
      <c r="A843" s="3"/>
      <c r="B843" s="3"/>
      <c r="C843" s="3"/>
      <c r="D843" s="3"/>
    </row>
    <row r="844" ht="15.75" customHeight="1">
      <c r="A844" s="3"/>
      <c r="B844" s="3"/>
      <c r="C844" s="3"/>
      <c r="D844" s="3"/>
    </row>
    <row r="845" ht="15.75" customHeight="1">
      <c r="A845" s="3"/>
      <c r="B845" s="3"/>
      <c r="C845" s="3"/>
      <c r="D845" s="3"/>
    </row>
    <row r="846" ht="15.75" customHeight="1">
      <c r="A846" s="3"/>
      <c r="B846" s="3"/>
      <c r="C846" s="3"/>
      <c r="D846" s="3"/>
    </row>
    <row r="847" ht="15.75" customHeight="1">
      <c r="A847" s="3"/>
      <c r="B847" s="3"/>
      <c r="C847" s="3"/>
      <c r="D847" s="3"/>
    </row>
    <row r="848" ht="15.75" customHeight="1">
      <c r="A848" s="3"/>
      <c r="B848" s="3"/>
      <c r="C848" s="3"/>
      <c r="D848" s="3"/>
    </row>
    <row r="849" ht="15.75" customHeight="1">
      <c r="A849" s="3"/>
      <c r="B849" s="3"/>
      <c r="C849" s="3"/>
      <c r="D849" s="3"/>
    </row>
    <row r="850" ht="15.75" customHeight="1">
      <c r="A850" s="3"/>
      <c r="B850" s="3"/>
      <c r="C850" s="3"/>
      <c r="D850" s="3"/>
    </row>
    <row r="851" ht="15.75" customHeight="1">
      <c r="A851" s="3"/>
      <c r="B851" s="3"/>
      <c r="C851" s="3"/>
      <c r="D851" s="3"/>
    </row>
    <row r="852" ht="15.75" customHeight="1">
      <c r="A852" s="3"/>
      <c r="B852" s="3"/>
      <c r="C852" s="3"/>
      <c r="D852" s="3"/>
    </row>
    <row r="853" ht="15.75" customHeight="1">
      <c r="A853" s="3"/>
      <c r="B853" s="3"/>
      <c r="C853" s="3"/>
      <c r="D853" s="3"/>
    </row>
    <row r="854" ht="15.75" customHeight="1">
      <c r="A854" s="3"/>
      <c r="B854" s="3"/>
      <c r="C854" s="3"/>
      <c r="D854" s="3"/>
    </row>
    <row r="855" ht="15.75" customHeight="1">
      <c r="A855" s="3"/>
      <c r="B855" s="3"/>
      <c r="C855" s="3"/>
      <c r="D855" s="3"/>
    </row>
    <row r="856" ht="15.75" customHeight="1">
      <c r="A856" s="3"/>
      <c r="B856" s="3"/>
      <c r="C856" s="3"/>
      <c r="D856" s="3"/>
    </row>
    <row r="857" ht="15.75" customHeight="1">
      <c r="A857" s="3"/>
      <c r="B857" s="3"/>
      <c r="C857" s="3"/>
      <c r="D857" s="3"/>
    </row>
    <row r="858" ht="15.75" customHeight="1">
      <c r="A858" s="3"/>
      <c r="B858" s="3"/>
      <c r="C858" s="3"/>
      <c r="D858" s="3"/>
    </row>
    <row r="859" ht="15.75" customHeight="1">
      <c r="A859" s="3"/>
      <c r="B859" s="3"/>
      <c r="C859" s="3"/>
      <c r="D859" s="3"/>
    </row>
    <row r="860" ht="15.75" customHeight="1">
      <c r="A860" s="3"/>
      <c r="B860" s="3"/>
      <c r="C860" s="3"/>
      <c r="D860" s="3"/>
    </row>
    <row r="861" ht="15.75" customHeight="1">
      <c r="A861" s="3"/>
      <c r="B861" s="3"/>
      <c r="C861" s="3"/>
      <c r="D861" s="3"/>
    </row>
    <row r="862" ht="15.75" customHeight="1">
      <c r="A862" s="3"/>
      <c r="B862" s="3"/>
      <c r="C862" s="3"/>
      <c r="D862" s="3"/>
    </row>
    <row r="863" ht="15.75" customHeight="1">
      <c r="A863" s="3"/>
      <c r="B863" s="3"/>
      <c r="C863" s="3"/>
      <c r="D863" s="3"/>
    </row>
    <row r="864" ht="15.75" customHeight="1">
      <c r="A864" s="3"/>
      <c r="B864" s="3"/>
      <c r="C864" s="3"/>
      <c r="D864" s="3"/>
    </row>
    <row r="865" ht="15.75" customHeight="1">
      <c r="A865" s="3"/>
      <c r="B865" s="3"/>
      <c r="C865" s="3"/>
      <c r="D865" s="3"/>
    </row>
    <row r="866" ht="15.75" customHeight="1">
      <c r="A866" s="3"/>
      <c r="B866" s="3"/>
      <c r="C866" s="3"/>
      <c r="D866" s="3"/>
    </row>
    <row r="867" ht="15.75" customHeight="1">
      <c r="A867" s="3"/>
      <c r="B867" s="3"/>
      <c r="C867" s="3"/>
      <c r="D867" s="3"/>
    </row>
    <row r="868" ht="15.75" customHeight="1">
      <c r="A868" s="3"/>
      <c r="B868" s="3"/>
      <c r="C868" s="3"/>
      <c r="D868" s="3"/>
    </row>
    <row r="869" ht="15.75" customHeight="1">
      <c r="A869" s="3"/>
      <c r="B869" s="3"/>
      <c r="C869" s="3"/>
      <c r="D869" s="3"/>
    </row>
    <row r="870" ht="15.75" customHeight="1">
      <c r="A870" s="3"/>
      <c r="B870" s="3"/>
      <c r="C870" s="3"/>
      <c r="D870" s="3"/>
    </row>
    <row r="871" ht="15.75" customHeight="1">
      <c r="A871" s="3"/>
      <c r="B871" s="3"/>
      <c r="C871" s="3"/>
      <c r="D871" s="3"/>
    </row>
    <row r="872" ht="15.75" customHeight="1">
      <c r="A872" s="3"/>
      <c r="B872" s="3"/>
      <c r="C872" s="3"/>
      <c r="D872" s="3"/>
    </row>
    <row r="873" ht="15.75" customHeight="1">
      <c r="A873" s="3"/>
      <c r="B873" s="3"/>
      <c r="C873" s="3"/>
      <c r="D873" s="3"/>
    </row>
    <row r="874" ht="15.75" customHeight="1">
      <c r="A874" s="3"/>
      <c r="B874" s="3"/>
      <c r="C874" s="3"/>
      <c r="D874" s="3"/>
    </row>
    <row r="875" ht="15.75" customHeight="1">
      <c r="A875" s="3"/>
      <c r="B875" s="3"/>
      <c r="C875" s="3"/>
      <c r="D875" s="3"/>
    </row>
    <row r="876" ht="15.75" customHeight="1">
      <c r="A876" s="3"/>
      <c r="B876" s="3"/>
      <c r="C876" s="3"/>
      <c r="D876" s="3"/>
    </row>
    <row r="877" ht="15.75" customHeight="1">
      <c r="A877" s="3"/>
      <c r="B877" s="3"/>
      <c r="C877" s="3"/>
      <c r="D877" s="3"/>
    </row>
    <row r="878" ht="15.75" customHeight="1">
      <c r="A878" s="3"/>
      <c r="B878" s="3"/>
      <c r="C878" s="3"/>
      <c r="D878" s="3"/>
    </row>
    <row r="879" ht="15.75" customHeight="1">
      <c r="A879" s="3"/>
      <c r="B879" s="3"/>
      <c r="C879" s="3"/>
      <c r="D879" s="3"/>
    </row>
    <row r="880" ht="15.75" customHeight="1">
      <c r="A880" s="3"/>
      <c r="B880" s="3"/>
      <c r="C880" s="3"/>
      <c r="D880" s="3"/>
    </row>
    <row r="881" ht="15.75" customHeight="1">
      <c r="A881" s="3"/>
      <c r="B881" s="3"/>
      <c r="C881" s="3"/>
      <c r="D881" s="3"/>
    </row>
    <row r="882" ht="15.75" customHeight="1">
      <c r="A882" s="3"/>
      <c r="B882" s="3"/>
      <c r="C882" s="3"/>
      <c r="D882" s="3"/>
    </row>
    <row r="883" ht="15.75" customHeight="1">
      <c r="A883" s="3"/>
      <c r="B883" s="3"/>
      <c r="C883" s="3"/>
      <c r="D883" s="3"/>
    </row>
    <row r="884" ht="15.75" customHeight="1">
      <c r="A884" s="3"/>
      <c r="B884" s="3"/>
      <c r="C884" s="3"/>
      <c r="D884" s="3"/>
    </row>
    <row r="885" ht="15.75" customHeight="1">
      <c r="A885" s="3"/>
      <c r="B885" s="3"/>
      <c r="C885" s="3"/>
      <c r="D885" s="3"/>
    </row>
    <row r="886" ht="15.75" customHeight="1">
      <c r="A886" s="3"/>
      <c r="B886" s="3"/>
      <c r="C886" s="3"/>
      <c r="D886" s="3"/>
    </row>
    <row r="887" ht="15.75" customHeight="1">
      <c r="A887" s="3"/>
      <c r="B887" s="3"/>
      <c r="C887" s="3"/>
      <c r="D887" s="3"/>
    </row>
    <row r="888" ht="15.75" customHeight="1">
      <c r="A888" s="3"/>
      <c r="B888" s="3"/>
      <c r="C888" s="3"/>
      <c r="D888" s="3"/>
    </row>
    <row r="889" ht="15.75" customHeight="1">
      <c r="A889" s="3"/>
      <c r="B889" s="3"/>
      <c r="C889" s="3"/>
      <c r="D889" s="3"/>
    </row>
    <row r="890" ht="15.75" customHeight="1">
      <c r="A890" s="3"/>
      <c r="B890" s="3"/>
      <c r="C890" s="3"/>
      <c r="D890" s="3"/>
    </row>
    <row r="891" ht="15.75" customHeight="1">
      <c r="A891" s="3"/>
      <c r="B891" s="3"/>
      <c r="C891" s="3"/>
      <c r="D891" s="3"/>
    </row>
    <row r="892" ht="15.75" customHeight="1">
      <c r="A892" s="3"/>
      <c r="B892" s="3"/>
      <c r="C892" s="3"/>
      <c r="D892" s="3"/>
    </row>
    <row r="893" ht="15.75" customHeight="1">
      <c r="A893" s="3"/>
      <c r="B893" s="3"/>
      <c r="C893" s="3"/>
      <c r="D893" s="3"/>
    </row>
    <row r="894" ht="15.75" customHeight="1">
      <c r="A894" s="3"/>
      <c r="B894" s="3"/>
      <c r="C894" s="3"/>
      <c r="D894" s="3"/>
    </row>
    <row r="895" ht="15.75" customHeight="1">
      <c r="A895" s="3"/>
      <c r="B895" s="3"/>
      <c r="C895" s="3"/>
      <c r="D895" s="3"/>
    </row>
    <row r="896" ht="15.75" customHeight="1">
      <c r="A896" s="3"/>
      <c r="B896" s="3"/>
      <c r="C896" s="3"/>
      <c r="D896" s="3"/>
    </row>
    <row r="897" ht="15.75" customHeight="1">
      <c r="A897" s="3"/>
      <c r="B897" s="3"/>
      <c r="C897" s="3"/>
      <c r="D897" s="3"/>
    </row>
    <row r="898" ht="15.75" customHeight="1">
      <c r="A898" s="3"/>
      <c r="B898" s="3"/>
      <c r="C898" s="3"/>
      <c r="D898" s="3"/>
    </row>
    <row r="899" ht="15.75" customHeight="1">
      <c r="A899" s="3"/>
      <c r="B899" s="3"/>
      <c r="C899" s="3"/>
      <c r="D899" s="3"/>
    </row>
    <row r="900" ht="15.75" customHeight="1">
      <c r="A900" s="3"/>
      <c r="B900" s="3"/>
      <c r="C900" s="3"/>
      <c r="D900" s="3"/>
    </row>
    <row r="901" ht="15.75" customHeight="1">
      <c r="A901" s="3"/>
      <c r="B901" s="3"/>
      <c r="C901" s="3"/>
      <c r="D901" s="3"/>
    </row>
    <row r="902" ht="15.75" customHeight="1">
      <c r="A902" s="3"/>
      <c r="B902" s="3"/>
      <c r="C902" s="3"/>
      <c r="D902" s="3"/>
    </row>
    <row r="903" ht="15.75" customHeight="1">
      <c r="A903" s="3"/>
      <c r="B903" s="3"/>
      <c r="C903" s="3"/>
      <c r="D903" s="3"/>
    </row>
    <row r="904" ht="15.75" customHeight="1">
      <c r="A904" s="3"/>
      <c r="B904" s="3"/>
      <c r="C904" s="3"/>
      <c r="D904" s="3"/>
    </row>
    <row r="905" ht="15.75" customHeight="1">
      <c r="A905" s="3"/>
      <c r="B905" s="3"/>
      <c r="C905" s="3"/>
      <c r="D905" s="3"/>
    </row>
    <row r="906" ht="15.75" customHeight="1">
      <c r="A906" s="3"/>
      <c r="B906" s="3"/>
      <c r="C906" s="3"/>
      <c r="D906" s="3"/>
    </row>
    <row r="907" ht="15.75" customHeight="1">
      <c r="A907" s="3"/>
      <c r="B907" s="3"/>
      <c r="C907" s="3"/>
      <c r="D907" s="3"/>
    </row>
    <row r="908" ht="15.75" customHeight="1">
      <c r="A908" s="3"/>
      <c r="B908" s="3"/>
      <c r="C908" s="3"/>
      <c r="D908" s="3"/>
    </row>
    <row r="909" ht="15.75" customHeight="1">
      <c r="A909" s="3"/>
      <c r="B909" s="3"/>
      <c r="C909" s="3"/>
      <c r="D909" s="3"/>
    </row>
    <row r="910" ht="15.75" customHeight="1">
      <c r="A910" s="3"/>
      <c r="B910" s="3"/>
      <c r="C910" s="3"/>
      <c r="D910" s="3"/>
    </row>
    <row r="911" ht="15.75" customHeight="1">
      <c r="A911" s="3"/>
      <c r="B911" s="3"/>
      <c r="C911" s="3"/>
      <c r="D911" s="3"/>
    </row>
    <row r="912" ht="15.75" customHeight="1">
      <c r="A912" s="3"/>
      <c r="B912" s="3"/>
      <c r="C912" s="3"/>
      <c r="D912" s="3"/>
    </row>
    <row r="913" ht="15.75" customHeight="1">
      <c r="A913" s="3"/>
      <c r="B913" s="3"/>
      <c r="C913" s="3"/>
      <c r="D913" s="3"/>
    </row>
    <row r="914" ht="15.75" customHeight="1">
      <c r="A914" s="3"/>
      <c r="B914" s="3"/>
      <c r="C914" s="3"/>
      <c r="D914" s="3"/>
    </row>
    <row r="915" ht="15.75" customHeight="1">
      <c r="A915" s="3"/>
      <c r="B915" s="3"/>
      <c r="C915" s="3"/>
      <c r="D915" s="3"/>
    </row>
    <row r="916" ht="15.75" customHeight="1">
      <c r="A916" s="3"/>
      <c r="B916" s="3"/>
      <c r="C916" s="3"/>
      <c r="D916" s="3"/>
    </row>
    <row r="917" ht="15.75" customHeight="1">
      <c r="A917" s="3"/>
      <c r="B917" s="3"/>
      <c r="C917" s="3"/>
      <c r="D917" s="3"/>
    </row>
    <row r="918" ht="15.75" customHeight="1">
      <c r="A918" s="3"/>
      <c r="B918" s="3"/>
      <c r="C918" s="3"/>
      <c r="D918" s="3"/>
    </row>
    <row r="919" ht="15.75" customHeight="1">
      <c r="A919" s="3"/>
      <c r="B919" s="3"/>
      <c r="C919" s="3"/>
      <c r="D919" s="3"/>
    </row>
    <row r="920" ht="15.75" customHeight="1">
      <c r="A920" s="3"/>
      <c r="B920" s="3"/>
      <c r="C920" s="3"/>
      <c r="D920" s="3"/>
    </row>
    <row r="921" ht="15.75" customHeight="1">
      <c r="A921" s="3"/>
      <c r="B921" s="3"/>
      <c r="C921" s="3"/>
      <c r="D921" s="3"/>
    </row>
    <row r="922" ht="15.75" customHeight="1">
      <c r="A922" s="3"/>
      <c r="B922" s="3"/>
      <c r="C922" s="3"/>
      <c r="D922" s="3"/>
    </row>
    <row r="923" ht="15.75" customHeight="1">
      <c r="A923" s="3"/>
      <c r="B923" s="3"/>
      <c r="C923" s="3"/>
      <c r="D923" s="3"/>
    </row>
    <row r="924" ht="15.75" customHeight="1">
      <c r="A924" s="3"/>
      <c r="B924" s="3"/>
      <c r="C924" s="3"/>
      <c r="D924" s="3"/>
    </row>
    <row r="925" ht="15.75" customHeight="1">
      <c r="A925" s="3"/>
      <c r="B925" s="3"/>
      <c r="C925" s="3"/>
      <c r="D925" s="3"/>
    </row>
    <row r="926" ht="15.75" customHeight="1">
      <c r="A926" s="3"/>
      <c r="B926" s="3"/>
      <c r="C926" s="3"/>
      <c r="D926" s="3"/>
    </row>
    <row r="927" ht="15.75" customHeight="1">
      <c r="A927" s="3"/>
      <c r="B927" s="3"/>
      <c r="C927" s="3"/>
      <c r="D927" s="3"/>
    </row>
    <row r="928" ht="15.75" customHeight="1">
      <c r="A928" s="3"/>
      <c r="B928" s="3"/>
      <c r="C928" s="3"/>
      <c r="D928" s="3"/>
    </row>
    <row r="929" ht="15.75" customHeight="1">
      <c r="A929" s="3"/>
      <c r="B929" s="3"/>
      <c r="C929" s="3"/>
      <c r="D929" s="3"/>
    </row>
    <row r="930" ht="15.75" customHeight="1">
      <c r="A930" s="3"/>
      <c r="B930" s="3"/>
      <c r="C930" s="3"/>
      <c r="D930" s="3"/>
    </row>
    <row r="931" ht="15.75" customHeight="1">
      <c r="A931" s="3"/>
      <c r="B931" s="3"/>
      <c r="C931" s="3"/>
      <c r="D931" s="3"/>
    </row>
    <row r="932" ht="15.75" customHeight="1">
      <c r="A932" s="3"/>
      <c r="B932" s="3"/>
      <c r="C932" s="3"/>
      <c r="D932" s="3"/>
    </row>
    <row r="933" ht="15.75" customHeight="1">
      <c r="A933" s="3"/>
      <c r="B933" s="3"/>
      <c r="C933" s="3"/>
      <c r="D933" s="3"/>
    </row>
    <row r="934" ht="15.75" customHeight="1">
      <c r="A934" s="3"/>
      <c r="B934" s="3"/>
      <c r="C934" s="3"/>
      <c r="D934" s="3"/>
    </row>
    <row r="935" ht="15.75" customHeight="1">
      <c r="A935" s="3"/>
      <c r="B935" s="3"/>
      <c r="C935" s="3"/>
      <c r="D935" s="3"/>
    </row>
    <row r="936" ht="15.75" customHeight="1">
      <c r="A936" s="3"/>
      <c r="B936" s="3"/>
      <c r="C936" s="3"/>
      <c r="D936" s="3"/>
    </row>
    <row r="937" ht="15.75" customHeight="1">
      <c r="A937" s="3"/>
      <c r="B937" s="3"/>
      <c r="C937" s="3"/>
      <c r="D937" s="3"/>
    </row>
    <row r="938" ht="15.75" customHeight="1">
      <c r="A938" s="3"/>
      <c r="B938" s="3"/>
      <c r="C938" s="3"/>
      <c r="D938" s="3"/>
    </row>
    <row r="939" ht="15.75" customHeight="1">
      <c r="A939" s="3"/>
      <c r="B939" s="3"/>
      <c r="C939" s="3"/>
      <c r="D939" s="3"/>
    </row>
    <row r="940" ht="15.75" customHeight="1">
      <c r="A940" s="3"/>
      <c r="B940" s="3"/>
      <c r="C940" s="3"/>
      <c r="D940" s="3"/>
    </row>
    <row r="941" ht="15.75" customHeight="1">
      <c r="A941" s="3"/>
      <c r="B941" s="3"/>
      <c r="C941" s="3"/>
      <c r="D941" s="3"/>
    </row>
    <row r="942" ht="15.75" customHeight="1">
      <c r="A942" s="3"/>
      <c r="B942" s="3"/>
      <c r="C942" s="3"/>
      <c r="D942" s="3"/>
    </row>
    <row r="943" ht="15.75" customHeight="1">
      <c r="A943" s="3"/>
      <c r="B943" s="3"/>
      <c r="C943" s="3"/>
      <c r="D943" s="3"/>
    </row>
    <row r="944" ht="15.75" customHeight="1">
      <c r="A944" s="3"/>
      <c r="B944" s="3"/>
      <c r="C944" s="3"/>
      <c r="D944" s="3"/>
    </row>
    <row r="945" ht="15.75" customHeight="1">
      <c r="A945" s="3"/>
      <c r="B945" s="3"/>
      <c r="C945" s="3"/>
      <c r="D945" s="3"/>
    </row>
    <row r="946" ht="15.75" customHeight="1">
      <c r="A946" s="3"/>
      <c r="B946" s="3"/>
      <c r="C946" s="3"/>
      <c r="D946" s="3"/>
    </row>
    <row r="947" ht="15.75" customHeight="1">
      <c r="A947" s="3"/>
      <c r="B947" s="3"/>
      <c r="C947" s="3"/>
      <c r="D947" s="3"/>
    </row>
    <row r="948" ht="15.75" customHeight="1">
      <c r="A948" s="3"/>
      <c r="B948" s="3"/>
      <c r="C948" s="3"/>
      <c r="D948" s="3"/>
    </row>
    <row r="949" ht="15.75" customHeight="1">
      <c r="A949" s="3"/>
      <c r="B949" s="3"/>
      <c r="C949" s="3"/>
      <c r="D949" s="3"/>
    </row>
    <row r="950" ht="15.75" customHeight="1">
      <c r="A950" s="3"/>
      <c r="B950" s="3"/>
      <c r="C950" s="3"/>
      <c r="D950" s="3"/>
    </row>
    <row r="951" ht="15.75" customHeight="1">
      <c r="A951" s="3"/>
      <c r="B951" s="3"/>
      <c r="C951" s="3"/>
      <c r="D951" s="3"/>
    </row>
    <row r="952" ht="15.75" customHeight="1">
      <c r="A952" s="3"/>
      <c r="B952" s="3"/>
      <c r="C952" s="3"/>
      <c r="D952" s="3"/>
    </row>
    <row r="953" ht="15.75" customHeight="1">
      <c r="A953" s="3"/>
      <c r="B953" s="3"/>
      <c r="C953" s="3"/>
      <c r="D953" s="3"/>
    </row>
    <row r="954" ht="15.75" customHeight="1">
      <c r="A954" s="3"/>
      <c r="B954" s="3"/>
      <c r="C954" s="3"/>
      <c r="D954" s="3"/>
    </row>
    <row r="955" ht="15.75" customHeight="1">
      <c r="A955" s="3"/>
      <c r="B955" s="3"/>
      <c r="C955" s="3"/>
      <c r="D955" s="3"/>
    </row>
    <row r="956" ht="15.75" customHeight="1">
      <c r="A956" s="3"/>
      <c r="B956" s="3"/>
      <c r="C956" s="3"/>
      <c r="D956" s="3"/>
    </row>
    <row r="957" ht="15.75" customHeight="1">
      <c r="A957" s="3"/>
      <c r="B957" s="3"/>
      <c r="C957" s="3"/>
      <c r="D957" s="3"/>
    </row>
    <row r="958" ht="15.75" customHeight="1">
      <c r="A958" s="3"/>
      <c r="B958" s="3"/>
      <c r="C958" s="3"/>
      <c r="D958" s="3"/>
    </row>
    <row r="959" ht="15.75" customHeight="1">
      <c r="A959" s="3"/>
      <c r="B959" s="3"/>
      <c r="C959" s="3"/>
      <c r="D959" s="3"/>
    </row>
    <row r="960" ht="15.75" customHeight="1">
      <c r="A960" s="3"/>
      <c r="B960" s="3"/>
      <c r="C960" s="3"/>
      <c r="D960" s="3"/>
    </row>
    <row r="961" ht="15.75" customHeight="1">
      <c r="A961" s="3"/>
      <c r="B961" s="3"/>
      <c r="C961" s="3"/>
      <c r="D961" s="3"/>
    </row>
    <row r="962" ht="15.75" customHeight="1">
      <c r="A962" s="3"/>
      <c r="B962" s="3"/>
      <c r="C962" s="3"/>
      <c r="D962" s="3"/>
    </row>
    <row r="963" ht="15.75" customHeight="1">
      <c r="A963" s="3"/>
      <c r="B963" s="3"/>
      <c r="C963" s="3"/>
      <c r="D963" s="3"/>
    </row>
    <row r="964" ht="15.75" customHeight="1">
      <c r="A964" s="3"/>
      <c r="B964" s="3"/>
      <c r="C964" s="3"/>
      <c r="D964" s="3"/>
    </row>
    <row r="965" ht="15.75" customHeight="1">
      <c r="A965" s="3"/>
      <c r="B965" s="3"/>
      <c r="C965" s="3"/>
      <c r="D965" s="3"/>
    </row>
    <row r="966" ht="15.75" customHeight="1">
      <c r="A966" s="3"/>
      <c r="B966" s="3"/>
      <c r="C966" s="3"/>
      <c r="D966" s="3"/>
    </row>
    <row r="967" ht="15.75" customHeight="1">
      <c r="A967" s="3"/>
      <c r="B967" s="3"/>
      <c r="C967" s="3"/>
      <c r="D967" s="3"/>
    </row>
    <row r="968" ht="15.75" customHeight="1">
      <c r="A968" s="3"/>
      <c r="B968" s="3"/>
      <c r="C968" s="3"/>
      <c r="D968" s="3"/>
    </row>
    <row r="969" ht="15.75" customHeight="1">
      <c r="A969" s="3"/>
      <c r="B969" s="3"/>
      <c r="C969" s="3"/>
      <c r="D969" s="3"/>
    </row>
    <row r="970" ht="15.75" customHeight="1">
      <c r="A970" s="3"/>
      <c r="B970" s="3"/>
      <c r="C970" s="3"/>
      <c r="D970" s="3"/>
    </row>
    <row r="971" ht="15.75" customHeight="1">
      <c r="A971" s="3"/>
      <c r="B971" s="3"/>
      <c r="C971" s="3"/>
      <c r="D971" s="3"/>
    </row>
    <row r="972" ht="15.75" customHeight="1">
      <c r="A972" s="3"/>
      <c r="B972" s="3"/>
      <c r="C972" s="3"/>
      <c r="D972" s="3"/>
    </row>
    <row r="973" ht="15.75" customHeight="1">
      <c r="A973" s="3"/>
      <c r="B973" s="3"/>
      <c r="C973" s="3"/>
      <c r="D973" s="3"/>
    </row>
    <row r="974" ht="15.75" customHeight="1">
      <c r="A974" s="3"/>
      <c r="B974" s="3"/>
      <c r="C974" s="3"/>
      <c r="D974" s="3"/>
    </row>
    <row r="975" ht="15.75" customHeight="1">
      <c r="A975" s="3"/>
      <c r="B975" s="3"/>
      <c r="C975" s="3"/>
      <c r="D975" s="3"/>
    </row>
    <row r="976" ht="15.75" customHeight="1">
      <c r="A976" s="3"/>
      <c r="B976" s="3"/>
      <c r="C976" s="3"/>
      <c r="D976" s="3"/>
    </row>
    <row r="977" ht="15.75" customHeight="1">
      <c r="A977" s="3"/>
      <c r="B977" s="3"/>
      <c r="C977" s="3"/>
      <c r="D977" s="3"/>
    </row>
    <row r="978" ht="15.75" customHeight="1">
      <c r="A978" s="3"/>
      <c r="B978" s="3"/>
      <c r="C978" s="3"/>
      <c r="D978" s="3"/>
    </row>
    <row r="979" ht="15.75" customHeight="1">
      <c r="A979" s="3"/>
      <c r="B979" s="3"/>
      <c r="C979" s="3"/>
      <c r="D979" s="3"/>
    </row>
    <row r="980" ht="15.75" customHeight="1">
      <c r="A980" s="3"/>
      <c r="B980" s="3"/>
      <c r="C980" s="3"/>
      <c r="D980" s="3"/>
    </row>
    <row r="981" ht="15.75" customHeight="1">
      <c r="A981" s="3"/>
      <c r="B981" s="3"/>
      <c r="C981" s="3"/>
      <c r="D981" s="3"/>
    </row>
    <row r="982" ht="15.75" customHeight="1">
      <c r="A982" s="3"/>
      <c r="B982" s="3"/>
      <c r="C982" s="3"/>
      <c r="D982" s="3"/>
    </row>
    <row r="983" ht="15.75" customHeight="1">
      <c r="A983" s="3"/>
      <c r="B983" s="3"/>
      <c r="C983" s="3"/>
      <c r="D983" s="3"/>
    </row>
    <row r="984" ht="15.75" customHeight="1">
      <c r="A984" s="3"/>
      <c r="B984" s="3"/>
      <c r="C984" s="3"/>
      <c r="D984" s="3"/>
    </row>
    <row r="985" ht="15.75" customHeight="1">
      <c r="A985" s="3"/>
      <c r="B985" s="3"/>
      <c r="C985" s="3"/>
      <c r="D985" s="3"/>
    </row>
    <row r="986" ht="15.75" customHeight="1">
      <c r="A986" s="3"/>
      <c r="B986" s="3"/>
      <c r="C986" s="3"/>
      <c r="D986" s="3"/>
    </row>
    <row r="987" ht="15.75" customHeight="1">
      <c r="A987" s="3"/>
      <c r="B987" s="3"/>
      <c r="C987" s="3"/>
      <c r="D987" s="3"/>
    </row>
    <row r="988" ht="15.75" customHeight="1">
      <c r="A988" s="3"/>
      <c r="B988" s="3"/>
      <c r="C988" s="3"/>
      <c r="D988" s="3"/>
    </row>
    <row r="989" ht="15.75" customHeight="1">
      <c r="A989" s="3"/>
      <c r="B989" s="3"/>
      <c r="C989" s="3"/>
      <c r="D989" s="3"/>
    </row>
    <row r="990" ht="15.75" customHeight="1">
      <c r="A990" s="3"/>
      <c r="B990" s="3"/>
      <c r="C990" s="3"/>
      <c r="D990" s="3"/>
    </row>
    <row r="991" ht="15.75" customHeight="1">
      <c r="A991" s="3"/>
      <c r="B991" s="3"/>
      <c r="C991" s="3"/>
      <c r="D991" s="3"/>
    </row>
    <row r="992" ht="15.75" customHeight="1">
      <c r="A992" s="3"/>
      <c r="B992" s="3"/>
      <c r="C992" s="3"/>
      <c r="D992" s="3"/>
    </row>
    <row r="993" ht="15.75" customHeight="1">
      <c r="A993" s="3"/>
      <c r="B993" s="3"/>
      <c r="C993" s="3"/>
      <c r="D993" s="3"/>
    </row>
    <row r="994" ht="15.75" customHeight="1">
      <c r="A994" s="3"/>
      <c r="B994" s="3"/>
      <c r="C994" s="3"/>
      <c r="D994" s="3"/>
    </row>
    <row r="995" ht="15.75" customHeight="1">
      <c r="A995" s="3"/>
      <c r="B995" s="3"/>
      <c r="C995" s="3"/>
      <c r="D995" s="3"/>
    </row>
    <row r="996" ht="15.75" customHeight="1">
      <c r="A996" s="3"/>
      <c r="B996" s="3"/>
      <c r="C996" s="3"/>
      <c r="D996" s="3"/>
    </row>
    <row r="997" ht="15.75" customHeight="1">
      <c r="A997" s="3"/>
      <c r="B997" s="3"/>
      <c r="C997" s="3"/>
      <c r="D997" s="3"/>
    </row>
    <row r="998" ht="15.75" customHeight="1">
      <c r="A998" s="3"/>
      <c r="B998" s="3"/>
      <c r="C998" s="3"/>
      <c r="D998" s="3"/>
    </row>
    <row r="999" ht="15.75" customHeight="1">
      <c r="A999" s="3"/>
      <c r="B999" s="3"/>
      <c r="C999" s="3"/>
      <c r="D999" s="3"/>
    </row>
    <row r="1000" ht="15.75" customHeight="1">
      <c r="A1000" s="3"/>
      <c r="B1000" s="3"/>
      <c r="C1000" s="3"/>
      <c r="D1000" s="3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14.14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Tracker'!S5="","","INV-"&amp;SUBSTITUTE('Client Needs Tracker'!S5," ",""))</f>
        <v>INV-M-1A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Tracker'!B5="","(Add client on Client Needs Tracker, row 5)",'Client Needs Tracker'!B5)</f>
        <v>Joe Jackson</v>
      </c>
      <c r="B6" s="104"/>
      <c r="C6" s="104"/>
      <c r="D6" s="104"/>
      <c r="E6" s="104"/>
      <c r="F6" s="105">
        <f>'Client Needs Tracker'!A5</f>
        <v>102558</v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>
        <f>IF('Client Needs Tracker'!C5="","",'Client Needs Tracker'!C5)</f>
        <v>46228</v>
      </c>
      <c r="B8" s="104"/>
      <c r="C8" s="104"/>
      <c r="D8" s="104"/>
      <c r="E8" s="104"/>
      <c r="F8" s="108" t="str">
        <f>'Client Needs Tracker'!E5</f>
        <v>TBD</v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Tracker'!F5="","",'Client Needs Tracker'!F5)</f>
        <v>TBD</v>
      </c>
      <c r="B10" s="104"/>
      <c r="C10" s="104"/>
      <c r="D10" s="104"/>
      <c r="E10" s="104"/>
      <c r="F10" s="110" t="str">
        <f>IF('Client Status Board'!G5="","",'Client Status Board'!G5)</f>
        <v>Unknown</v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Board'!L5="","",'Client Status Board'!L5)</f>
        <v>Genoa</v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11" t="s">
        <v>188</v>
      </c>
      <c r="L13" s="94"/>
      <c r="N13" s="3"/>
      <c r="O13" s="3"/>
    </row>
    <row r="14" ht="24.0" customHeight="1">
      <c r="A14" s="112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17">
        <v>587441.0</v>
      </c>
      <c r="B16" s="35" t="s">
        <v>124</v>
      </c>
      <c r="C16" s="29"/>
      <c r="D16" s="29" t="s">
        <v>201</v>
      </c>
      <c r="E16" s="29">
        <v>4.0</v>
      </c>
      <c r="F16" s="118">
        <v>0.3333333333333333</v>
      </c>
      <c r="G16" s="29">
        <v>4.0</v>
      </c>
      <c r="H16" s="1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29" t="s">
        <v>48</v>
      </c>
      <c r="J16" s="29" t="s">
        <v>202</v>
      </c>
      <c r="K16" s="29">
        <v>30.0</v>
      </c>
      <c r="L16" s="12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3"/>
      <c r="O16" s="3"/>
    </row>
    <row r="17" ht="15.0" customHeight="1">
      <c r="A17" s="121"/>
      <c r="B17" s="35"/>
      <c r="C17" s="29"/>
      <c r="D17" s="29"/>
      <c r="E17" s="29"/>
      <c r="F17" s="118"/>
      <c r="G17" s="29"/>
      <c r="H17" s="19" t="str">
        <f t="shared" si="1"/>
        <v/>
      </c>
      <c r="I17" s="29"/>
      <c r="J17" s="19"/>
      <c r="K17" s="19"/>
      <c r="L17" s="12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17" s="3"/>
      <c r="O17" s="3"/>
    </row>
    <row r="18" ht="15.0" customHeight="1">
      <c r="A18" s="121"/>
      <c r="B18" s="35"/>
      <c r="C18" s="29"/>
      <c r="D18" s="29"/>
      <c r="E18" s="29"/>
      <c r="F18" s="118"/>
      <c r="G18" s="29"/>
      <c r="H18" s="19" t="str">
        <f t="shared" si="1"/>
        <v/>
      </c>
      <c r="I18" s="29"/>
      <c r="J18" s="19"/>
      <c r="K18" s="19"/>
      <c r="L18" s="12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howErrorMessage="1" sqref="C17">
      <formula1>"10,20,40,60"</formula1>
    </dataValidation>
    <dataValidation type="list" allowBlank="1" showErrorMessage="1" sqref="C16">
      <formula1>"25,50,100"</formula1>
    </dataValidation>
    <dataValidation type="list" allowBlank="1" showErrorMessage="1" sqref="C18">
      <formula1>"5,10,20"</formula1>
    </dataValidation>
    <dataValidation type="list" allowBlank="1" sqref="C19:C27">
      <formula1>INDIRECT("MG_"&amp;SUBSTITUTE(SUBSTITUTE(SUBSTITUTE(SUBSTITUTE(LEFT($B19,IFERROR(FIND(" (",$B19)-1,LEN($B19))),"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6.71"/>
    <col customWidth="1" min="6" max="6" width="8.0"/>
    <col customWidth="1" min="7" max="7" width="6.0"/>
    <col customWidth="1" min="8" max="8" width="12.0"/>
    <col customWidth="1" min="9" max="9" width="6.0"/>
    <col customWidth="1" min="10" max="10" width="12.14"/>
    <col customWidth="1" min="11" max="11" width="10.86"/>
    <col customWidth="1" min="12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 t="str">
        <f>"Case Manager: "&amp;IF('Inventory - P01'!A10="","-",'Inventory - P01'!A10)</f>
        <v>Case Manager: TBD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ht="15.0" customHeight="1">
      <c r="A3" s="130" t="str">
        <f>IF('Inventory - P01'!A6="","(Enter name in Inventory - P01)",'Inventory - P01'!A6)</f>
        <v>Joe Jackson</v>
      </c>
      <c r="B3" s="131"/>
      <c r="C3" s="131"/>
      <c r="D3" s="131"/>
      <c r="E3" s="131"/>
      <c r="F3" s="132" t="str">
        <f>IF('Inventory - P01'!F6="","(Enter ID in Inventory - P01)","Member ID: "&amp;'Inventory - P01'!F6)</f>
        <v>Member ID: 102558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Tracker'!S5="","","INV-"&amp;SUBSTITUTE('Client Needs Tracker'!S5," ",""))</f>
        <v>INV-M-1A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/>
      <c r="C5" s="3"/>
      <c r="D5" s="134"/>
      <c r="F5" s="3"/>
      <c r="G5" s="134" t="str">
        <f>"Doctor: "&amp;IF('Inventory - P01'!F10="","-",'Inventory - P01'!F10)</f>
        <v>Doctor: Unknown</v>
      </c>
      <c r="I5" s="3"/>
      <c r="J5" s="134" t="str">
        <f>"Pharmacy: "&amp;IF('Inventory - P01'!A12="","-",'Inventory - P01'!A12)</f>
        <v>Pharmacy: Genoa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/>
      <c r="B6" s="3"/>
      <c r="C6" s="3"/>
      <c r="D6" s="135" t="s">
        <v>209</v>
      </c>
      <c r="E6" s="136" t="str">
        <f>IF('Inventory - P01'!A14="","",'Inventory - P01'!A14)</f>
        <v/>
      </c>
      <c r="F6" s="104"/>
      <c r="G6" s="134" t="str">
        <f>"LOC: "&amp;IF('Inventory - P01'!F8="","-",'Inventory - P01'!F8)</f>
        <v>LOC: TBD</v>
      </c>
      <c r="I6" s="3"/>
      <c r="J6" s="3" t="str">
        <f>"Doctor: "&amp;IF('Inventory - P01'!F10="","-",'Inventory - P01'!F10)</f>
        <v>Doctor: Unknown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P01'!A14="","",'Inventory - P01'!A14+0)</f>
        <v/>
      </c>
      <c r="J8" s="139"/>
      <c r="K8" s="138" t="str">
        <f>IF('Inventory - P01'!A14="","",'Inventory - P01'!A14+1)</f>
        <v/>
      </c>
      <c r="L8" s="139"/>
      <c r="M8" s="138" t="str">
        <f>IF('Inventory - P01'!A14="","",'Inventory - P01'!A14+2)</f>
        <v/>
      </c>
      <c r="N8" s="139"/>
      <c r="O8" s="138" t="str">
        <f>IF('Inventory - P01'!A14="","",'Inventory - P01'!A14+3)</f>
        <v/>
      </c>
      <c r="P8" s="139"/>
      <c r="Q8" s="138" t="str">
        <f>IF('Inventory - P01'!A14="","",'Inventory - P01'!A14+4)</f>
        <v/>
      </c>
      <c r="R8" s="139"/>
      <c r="S8" s="138" t="str">
        <f>IF('Inventory - P01'!A14="","",'Inventory - P01'!A14+5)</f>
        <v/>
      </c>
      <c r="T8" s="139"/>
      <c r="U8" s="138" t="str">
        <f>IF('Inventory - P01'!A14="","",'Inventory - P01'!A14+6)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>8:00 AM</v>
      </c>
      <c r="B11" s="19">
        <f t="shared" ref="B11:B22" si="2">IF(X11="","",(INT((X11-1)/4)+1))</f>
        <v>1</v>
      </c>
      <c r="C11" s="46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19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19" t="str">
        <f t="array" ref="E11">IF(X11="","",INDEX('Inventory - P01'!$D$16:$D$27,(INT((X11-1)/4)+1)))</f>
        <v>PO</v>
      </c>
      <c r="F11" s="19">
        <f t="array" ref="F11">IF(X11="","",INDEX('Inventory - P01'!$E$16:$E$27,(INT((X11-1)/4)+1)))</f>
        <v>4</v>
      </c>
      <c r="G11" s="19" t="str">
        <f t="array" ref="G11">IF(X11="","",INDEX('Inventory - P01'!$I$16:$I$27,(INT((X11-1)/4)+1)))</f>
        <v>Y</v>
      </c>
      <c r="H11" s="19" t="str">
        <f t="array" ref="H11">IF(X11="","",INDEX('Inventory - P01'!$J$16:$J$27,(INT((X11-1)/4)+1)))</f>
        <v>Physical</v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0.3333333333</v>
      </c>
      <c r="X11" s="3">
        <f t="shared" ref="X11:X22" si="3">IF(W11&lt;9,MATCH(W11,$Z$67:$Z$114,0),"")</f>
        <v>1</v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19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P01'!$D$16:$D$27,(INT((X12-1)/4)+1)))</f>
        <v/>
      </c>
      <c r="F12" s="19" t="str">
        <f t="array" ref="F12">IF(X12="","",INDEX('Inventory - P01'!$E$16:$E$27,(INT((X12-1)/4)+1)))</f>
        <v/>
      </c>
      <c r="G12" s="19" t="str">
        <f t="array" ref="G12">IF(X12="","",INDEX('Inventory - P01'!$I$16:$I$27,(INT((X12-1)/4)+1)))</f>
        <v/>
      </c>
      <c r="H12" s="19" t="str">
        <f t="array" ref="H12">IF(X12="","",INDEX('Inventory - P01'!$J$16:$J$27,(INT((X12-1)/4)+1)))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19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P01'!$D$16:$D$27,(INT((X13-1)/4)+1)))</f>
        <v/>
      </c>
      <c r="F13" s="19" t="str">
        <f t="array" ref="F13">IF(X13="","",INDEX('Inventory - P01'!$E$16:$E$27,(INT((X13-1)/4)+1)))</f>
        <v/>
      </c>
      <c r="G13" s="19" t="str">
        <f t="array" ref="G13">IF(X13="","",INDEX('Inventory - P01'!$I$16:$I$27,(INT((X13-1)/4)+1)))</f>
        <v/>
      </c>
      <c r="H13" s="19" t="str">
        <f t="array" ref="H13">IF(X13="","",INDEX('Inventory - P01'!$J$16:$J$27,(INT((X13-1)/4)+1)))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19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P01'!$D$16:$D$27,(INT((X14-1)/4)+1)))</f>
        <v/>
      </c>
      <c r="F14" s="19" t="str">
        <f t="array" ref="F14">IF(X14="","",INDEX('Inventory - P01'!$E$16:$E$27,(INT((X14-1)/4)+1)))</f>
        <v/>
      </c>
      <c r="G14" s="19" t="str">
        <f t="array" ref="G14">IF(X14="","",INDEX('Inventory - P01'!$I$16:$I$27,(INT((X14-1)/4)+1)))</f>
        <v/>
      </c>
      <c r="H14" s="19" t="str">
        <f t="array" ref="H14">IF(X14="","",INDEX('Inventory - P01'!$J$16:$J$27,(INT((X14-1)/4)+1)))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19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P01'!$D$16:$D$27,(INT((X15-1)/4)+1)))</f>
        <v/>
      </c>
      <c r="F15" s="19" t="str">
        <f t="array" ref="F15">IF(X15="","",INDEX('Inventory - P01'!$E$16:$E$27,(INT((X15-1)/4)+1)))</f>
        <v/>
      </c>
      <c r="G15" s="19" t="str">
        <f t="array" ref="G15">IF(X15="","",INDEX('Inventory - P01'!$I$16:$I$27,(INT((X15-1)/4)+1)))</f>
        <v/>
      </c>
      <c r="H15" s="19" t="str">
        <f t="array" ref="H15">IF(X15="","",INDEX('Inventory - P01'!$J$16:$J$27,(INT((X15-1)/4)+1)))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19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P01'!$D$16:$D$27,(INT((X16-1)/4)+1)))</f>
        <v/>
      </c>
      <c r="F16" s="19" t="str">
        <f t="array" ref="F16">IF(X16="","",INDEX('Inventory - P01'!$E$16:$E$27,(INT((X16-1)/4)+1)))</f>
        <v/>
      </c>
      <c r="G16" s="19" t="str">
        <f t="array" ref="G16">IF(X16="","",INDEX('Inventory - P01'!$I$16:$I$27,(INT((X16-1)/4)+1)))</f>
        <v/>
      </c>
      <c r="H16" s="19" t="str">
        <f t="array" ref="H16">IF(X16="","",INDEX('Inventory - P01'!$J$16:$J$27,(INT((X16-1)/4)+1)))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19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P01'!$D$16:$D$27,(INT((X17-1)/4)+1)))</f>
        <v/>
      </c>
      <c r="F17" s="19" t="str">
        <f t="array" ref="F17">IF(X17="","",INDEX('Inventory - P01'!$E$16:$E$27,(INT((X17-1)/4)+1)))</f>
        <v/>
      </c>
      <c r="G17" s="19" t="str">
        <f t="array" ref="G17">IF(X17="","",INDEX('Inventory - P01'!$I$16:$I$27,(INT((X17-1)/4)+1)))</f>
        <v/>
      </c>
      <c r="H17" s="19" t="str">
        <f t="array" ref="H17">IF(X17="","",INDEX('Inventory - P01'!$J$16:$J$27,(INT((X17-1)/4)+1)))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19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P01'!$D$16:$D$27,(INT((X18-1)/4)+1)))</f>
        <v/>
      </c>
      <c r="F18" s="19" t="str">
        <f t="array" ref="F18">IF(X18="","",INDEX('Inventory - P01'!$E$16:$E$27,(INT((X18-1)/4)+1)))</f>
        <v/>
      </c>
      <c r="G18" s="19" t="str">
        <f t="array" ref="G18">IF(X18="","",INDEX('Inventory - P01'!$I$16:$I$27,(INT((X18-1)/4)+1)))</f>
        <v/>
      </c>
      <c r="H18" s="19" t="str">
        <f t="array" ref="H18">IF(X18="","",INDEX('Inventory - P01'!$J$16:$J$27,(INT((X18-1)/4)+1)))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19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P01'!$D$16:$D$27,(INT((X19-1)/4)+1)))</f>
        <v/>
      </c>
      <c r="F19" s="19" t="str">
        <f t="array" ref="F19">IF(X19="","",INDEX('Inventory - P01'!$E$16:$E$27,(INT((X19-1)/4)+1)))</f>
        <v/>
      </c>
      <c r="G19" s="19" t="str">
        <f t="array" ref="G19">IF(X19="","",INDEX('Inventory - P01'!$I$16:$I$27,(INT((X19-1)/4)+1)))</f>
        <v/>
      </c>
      <c r="H19" s="19" t="str">
        <f t="array" ref="H19">IF(X19="","",INDEX('Inventory - P01'!$J$16:$J$27,(INT((X19-1)/4)+1)))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19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P01'!$D$16:$D$27,(INT((X20-1)/4)+1)))</f>
        <v/>
      </c>
      <c r="F20" s="19" t="str">
        <f t="array" ref="F20">IF(X20="","",INDEX('Inventory - P01'!$E$16:$E$27,(INT((X20-1)/4)+1)))</f>
        <v/>
      </c>
      <c r="G20" s="19" t="str">
        <f t="array" ref="G20">IF(X20="","",INDEX('Inventory - P01'!$I$16:$I$27,(INT((X20-1)/4)+1)))</f>
        <v/>
      </c>
      <c r="H20" s="19" t="str">
        <f t="array" ref="H20">IF(X20="","",INDEX('Inventory - P01'!$J$16:$J$27,(INT((X20-1)/4)+1)))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19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P01'!$D$16:$D$27,(INT((X21-1)/4)+1)))</f>
        <v/>
      </c>
      <c r="F21" s="19" t="str">
        <f t="array" ref="F21">IF(X21="","",INDEX('Inventory - P01'!$E$16:$E$27,(INT((X21-1)/4)+1)))</f>
        <v/>
      </c>
      <c r="G21" s="19" t="str">
        <f t="array" ref="G21">IF(X21="","",INDEX('Inventory - P01'!$I$16:$I$27,(INT((X21-1)/4)+1)))</f>
        <v/>
      </c>
      <c r="H21" s="19" t="str">
        <f t="array" ref="H21">IF(X21="","",INDEX('Inventory - P01'!$J$16:$J$27,(INT((X21-1)/4)+1)))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19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P01'!$D$16:$D$27,(INT((X22-1)/4)+1)))</f>
        <v/>
      </c>
      <c r="F22" s="19" t="str">
        <f t="array" ref="F22">IF(X22="","",INDEX('Inventory - P01'!$E$16:$E$27,(INT((X22-1)/4)+1)))</f>
        <v/>
      </c>
      <c r="G22" s="19" t="str">
        <f t="array" ref="G22">IF(X22="","",INDEX('Inventory - P01'!$I$16:$I$27,(INT((X22-1)/4)+1)))</f>
        <v/>
      </c>
      <c r="H22" s="19" t="str">
        <f t="array" ref="H22">IF(X22="","",INDEX('Inventory - P01'!$J$16:$J$27,(INT((X22-1)/4)+1)))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>12:00 PM</v>
      </c>
      <c r="B24" s="19">
        <f t="shared" ref="B24:B35" si="5">IF(X24="","",(INT((X24-1)/4)+1))</f>
        <v>1</v>
      </c>
      <c r="C24" s="46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19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19" t="str">
        <f t="array" ref="E24">IF(X24="","",INDEX('Inventory - P01'!$D$16:$D$27,(INT((X24-1)/4)+1)))</f>
        <v>PO</v>
      </c>
      <c r="F24" s="19">
        <f t="array" ref="F24">IF(X24="","",INDEX('Inventory - P01'!$E$16:$E$27,(INT((X24-1)/4)+1)))</f>
        <v>4</v>
      </c>
      <c r="G24" s="19" t="str">
        <f t="array" ref="G24">IF(X24="","",INDEX('Inventory - P01'!$I$16:$I$27,(INT((X24-1)/4)+1)))</f>
        <v>Y</v>
      </c>
      <c r="H24" s="19" t="str">
        <f t="array" ref="H24">IF(X24="","",INDEX('Inventory - P01'!$J$16:$J$27,(INT((X24-1)/4)+1)))</f>
        <v>Physical</v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0.500000001</v>
      </c>
      <c r="X24" s="3">
        <f t="shared" ref="X24:X35" si="6">IF(W24&lt;9,MATCH(W24,$AA$67:$AA$114,0),"")</f>
        <v>2</v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>4:00 PM</v>
      </c>
      <c r="B25" s="19">
        <f t="shared" si="5"/>
        <v>1</v>
      </c>
      <c r="C25" s="46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19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19" t="str">
        <f t="array" ref="E25">IF(X25="","",INDEX('Inventory - P01'!$D$16:$D$27,(INT((X25-1)/4)+1)))</f>
        <v>PO</v>
      </c>
      <c r="F25" s="19">
        <f t="array" ref="F25">IF(X25="","",INDEX('Inventory - P01'!$E$16:$E$27,(INT((X25-1)/4)+1)))</f>
        <v>4</v>
      </c>
      <c r="G25" s="19" t="str">
        <f t="array" ref="G25">IF(X25="","",INDEX('Inventory - P01'!$I$16:$I$27,(INT((X25-1)/4)+1)))</f>
        <v>Y</v>
      </c>
      <c r="H25" s="19" t="str">
        <f t="array" ref="H25">IF(X25="","",INDEX('Inventory - P01'!$J$16:$J$27,(INT((X25-1)/4)+1)))</f>
        <v>Physical</v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0.6666666687</v>
      </c>
      <c r="X25" s="3">
        <f t="shared" si="6"/>
        <v>3</v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19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P01'!$D$16:$D$27,(INT((X26-1)/4)+1)))</f>
        <v/>
      </c>
      <c r="F26" s="19" t="str">
        <f t="array" ref="F26">IF(X26="","",INDEX('Inventory - P01'!$E$16:$E$27,(INT((X26-1)/4)+1)))</f>
        <v/>
      </c>
      <c r="G26" s="19" t="str">
        <f t="array" ref="G26">IF(X26="","",INDEX('Inventory - P01'!$I$16:$I$27,(INT((X26-1)/4)+1)))</f>
        <v/>
      </c>
      <c r="H26" s="19" t="str">
        <f t="array" ref="H26">IF(X26="","",INDEX('Inventory - P01'!$J$16:$J$27,(INT((X26-1)/4)+1)))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19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P01'!$D$16:$D$27,(INT((X27-1)/4)+1)))</f>
        <v/>
      </c>
      <c r="F27" s="19" t="str">
        <f t="array" ref="F27">IF(X27="","",INDEX('Inventory - P01'!$E$16:$E$27,(INT((X27-1)/4)+1)))</f>
        <v/>
      </c>
      <c r="G27" s="19" t="str">
        <f t="array" ref="G27">IF(X27="","",INDEX('Inventory - P01'!$I$16:$I$27,(INT((X27-1)/4)+1)))</f>
        <v/>
      </c>
      <c r="H27" s="19" t="str">
        <f t="array" ref="H27">IF(X27="","",INDEX('Inventory - P01'!$J$16:$J$27,(INT((X27-1)/4)+1)))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19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P01'!$D$16:$D$27,(INT((X28-1)/4)+1)))</f>
        <v/>
      </c>
      <c r="F28" s="19" t="str">
        <f t="array" ref="F28">IF(X28="","",INDEX('Inventory - P01'!$E$16:$E$27,(INT((X28-1)/4)+1)))</f>
        <v/>
      </c>
      <c r="G28" s="19" t="str">
        <f t="array" ref="G28">IF(X28="","",INDEX('Inventory - P01'!$I$16:$I$27,(INT((X28-1)/4)+1)))</f>
        <v/>
      </c>
      <c r="H28" s="19" t="str">
        <f t="array" ref="H28">IF(X28="","",INDEX('Inventory - P01'!$J$16:$J$27,(INT((X28-1)/4)+1)))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19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P01'!$D$16:$D$27,(INT((X29-1)/4)+1)))</f>
        <v/>
      </c>
      <c r="F29" s="19" t="str">
        <f t="array" ref="F29">IF(X29="","",INDEX('Inventory - P01'!$E$16:$E$27,(INT((X29-1)/4)+1)))</f>
        <v/>
      </c>
      <c r="G29" s="19" t="str">
        <f t="array" ref="G29">IF(X29="","",INDEX('Inventory - P01'!$I$16:$I$27,(INT((X29-1)/4)+1)))</f>
        <v/>
      </c>
      <c r="H29" s="19" t="str">
        <f t="array" ref="H29">IF(X29="","",INDEX('Inventory - P01'!$J$16:$J$27,(INT((X29-1)/4)+1)))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19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P01'!$D$16:$D$27,(INT((X30-1)/4)+1)))</f>
        <v/>
      </c>
      <c r="F30" s="19" t="str">
        <f t="array" ref="F30">IF(X30="","",INDEX('Inventory - P01'!$E$16:$E$27,(INT((X30-1)/4)+1)))</f>
        <v/>
      </c>
      <c r="G30" s="19" t="str">
        <f t="array" ref="G30">IF(X30="","",INDEX('Inventory - P01'!$I$16:$I$27,(INT((X30-1)/4)+1)))</f>
        <v/>
      </c>
      <c r="H30" s="19" t="str">
        <f t="array" ref="H30">IF(X30="","",INDEX('Inventory - P01'!$J$16:$J$27,(INT((X30-1)/4)+1)))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19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P01'!$D$16:$D$27,(INT((X31-1)/4)+1)))</f>
        <v/>
      </c>
      <c r="F31" s="19" t="str">
        <f t="array" ref="F31">IF(X31="","",INDEX('Inventory - P01'!$E$16:$E$27,(INT((X31-1)/4)+1)))</f>
        <v/>
      </c>
      <c r="G31" s="19" t="str">
        <f t="array" ref="G31">IF(X31="","",INDEX('Inventory - P01'!$I$16:$I$27,(INT((X31-1)/4)+1)))</f>
        <v/>
      </c>
      <c r="H31" s="19" t="str">
        <f t="array" ref="H31">IF(X31="","",INDEX('Inventory - P01'!$J$16:$J$27,(INT((X31-1)/4)+1)))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19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P01'!$D$16:$D$27,(INT((X32-1)/4)+1)))</f>
        <v/>
      </c>
      <c r="F32" s="19" t="str">
        <f t="array" ref="F32">IF(X32="","",INDEX('Inventory - P01'!$E$16:$E$27,(INT((X32-1)/4)+1)))</f>
        <v/>
      </c>
      <c r="G32" s="19" t="str">
        <f t="array" ref="G32">IF(X32="","",INDEX('Inventory - P01'!$I$16:$I$27,(INT((X32-1)/4)+1)))</f>
        <v/>
      </c>
      <c r="H32" s="19" t="str">
        <f t="array" ref="H32">IF(X32="","",INDEX('Inventory - P01'!$J$16:$J$27,(INT((X32-1)/4)+1)))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19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P01'!$D$16:$D$27,(INT((X33-1)/4)+1)))</f>
        <v/>
      </c>
      <c r="F33" s="19" t="str">
        <f t="array" ref="F33">IF(X33="","",INDEX('Inventory - P01'!$E$16:$E$27,(INT((X33-1)/4)+1)))</f>
        <v/>
      </c>
      <c r="G33" s="19" t="str">
        <f t="array" ref="G33">IF(X33="","",INDEX('Inventory - P01'!$I$16:$I$27,(INT((X33-1)/4)+1)))</f>
        <v/>
      </c>
      <c r="H33" s="19" t="str">
        <f t="array" ref="H33">IF(X33="","",INDEX('Inventory - P01'!$J$16:$J$27,(INT((X33-1)/4)+1)))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19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P01'!$D$16:$D$27,(INT((X34-1)/4)+1)))</f>
        <v/>
      </c>
      <c r="F34" s="19" t="str">
        <f t="array" ref="F34">IF(X34="","",INDEX('Inventory - P01'!$E$16:$E$27,(INT((X34-1)/4)+1)))</f>
        <v/>
      </c>
      <c r="G34" s="19" t="str">
        <f t="array" ref="G34">IF(X34="","",INDEX('Inventory - P01'!$I$16:$I$27,(INT((X34-1)/4)+1)))</f>
        <v/>
      </c>
      <c r="H34" s="19" t="str">
        <f t="array" ref="H34">IF(X34="","",INDEX('Inventory - P01'!$J$16:$J$27,(INT((X34-1)/4)+1)))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19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P01'!$D$16:$D$27,(INT((X35-1)/4)+1)))</f>
        <v/>
      </c>
      <c r="F35" s="19" t="str">
        <f t="array" ref="F35">IF(X35="","",INDEX('Inventory - P01'!$E$16:$E$27,(INT((X35-1)/4)+1)))</f>
        <v/>
      </c>
      <c r="G35" s="19" t="str">
        <f t="array" ref="G35">IF(X35="","",INDEX('Inventory - P01'!$I$16:$I$27,(INT((X35-1)/4)+1)))</f>
        <v/>
      </c>
      <c r="H35" s="19" t="str">
        <f t="array" ref="H35">IF(X35="","",INDEX('Inventory - P01'!$J$16:$J$27,(INT((X35-1)/4)+1)))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19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P01'!$D$16:$D$27,(INT((X37-1)/4)+1)))</f>
        <v/>
      </c>
      <c r="F37" s="19" t="str">
        <f t="array" ref="F37">IF(X37="","",INDEX('Inventory - P01'!$E$16:$E$27,(INT((X37-1)/4)+1)))</f>
        <v/>
      </c>
      <c r="G37" s="19" t="str">
        <f t="array" ref="G37">IF(X37="","",INDEX('Inventory - P01'!$I$16:$I$27,(INT((X37-1)/4)+1)))</f>
        <v/>
      </c>
      <c r="H37" s="19" t="str">
        <f t="array" ref="H37">IF(X37="","",INDEX('Inventory - P01'!$J$16:$J$27,(INT((X37-1)/4)+1)))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19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P01'!$D$16:$D$27,(INT((X38-1)/4)+1)))</f>
        <v/>
      </c>
      <c r="F38" s="19" t="str">
        <f t="array" ref="F38">IF(X38="","",INDEX('Inventory - P01'!$E$16:$E$27,(INT((X38-1)/4)+1)))</f>
        <v/>
      </c>
      <c r="G38" s="19" t="str">
        <f t="array" ref="G38">IF(X38="","",INDEX('Inventory - P01'!$I$16:$I$27,(INT((X38-1)/4)+1)))</f>
        <v/>
      </c>
      <c r="H38" s="19" t="str">
        <f t="array" ref="H38">IF(X38="","",INDEX('Inventory - P01'!$J$16:$J$27,(INT((X38-1)/4)+1)))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19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P01'!$D$16:$D$27,(INT((X39-1)/4)+1)))</f>
        <v/>
      </c>
      <c r="F39" s="19" t="str">
        <f t="array" ref="F39">IF(X39="","",INDEX('Inventory - P01'!$E$16:$E$27,(INT((X39-1)/4)+1)))</f>
        <v/>
      </c>
      <c r="G39" s="19" t="str">
        <f t="array" ref="G39">IF(X39="","",INDEX('Inventory - P01'!$I$16:$I$27,(INT((X39-1)/4)+1)))</f>
        <v/>
      </c>
      <c r="H39" s="19" t="str">
        <f t="array" ref="H39">IF(X39="","",INDEX('Inventory - P01'!$J$16:$J$27,(INT((X39-1)/4)+1)))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19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P01'!$D$16:$D$27,(INT((X40-1)/4)+1)))</f>
        <v/>
      </c>
      <c r="F40" s="19" t="str">
        <f t="array" ref="F40">IF(X40="","",INDEX('Inventory - P01'!$E$16:$E$27,(INT((X40-1)/4)+1)))</f>
        <v/>
      </c>
      <c r="G40" s="19" t="str">
        <f t="array" ref="G40">IF(X40="","",INDEX('Inventory - P01'!$I$16:$I$27,(INT((X40-1)/4)+1)))</f>
        <v/>
      </c>
      <c r="H40" s="19" t="str">
        <f t="array" ref="H40">IF(X40="","",INDEX('Inventory - P01'!$J$16:$J$27,(INT((X40-1)/4)+1)))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19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P01'!$D$16:$D$27,(INT((X41-1)/4)+1)))</f>
        <v/>
      </c>
      <c r="F41" s="19" t="str">
        <f t="array" ref="F41">IF(X41="","",INDEX('Inventory - P01'!$E$16:$E$27,(INT((X41-1)/4)+1)))</f>
        <v/>
      </c>
      <c r="G41" s="19" t="str">
        <f t="array" ref="G41">IF(X41="","",INDEX('Inventory - P01'!$I$16:$I$27,(INT((X41-1)/4)+1)))</f>
        <v/>
      </c>
      <c r="H41" s="19" t="str">
        <f t="array" ref="H41">IF(X41="","",INDEX('Inventory - P01'!$J$16:$J$27,(INT((X41-1)/4)+1)))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19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P01'!$D$16:$D$27,(INT((X42-1)/4)+1)))</f>
        <v/>
      </c>
      <c r="F42" s="19" t="str">
        <f t="array" ref="F42">IF(X42="","",INDEX('Inventory - P01'!$E$16:$E$27,(INT((X42-1)/4)+1)))</f>
        <v/>
      </c>
      <c r="G42" s="19" t="str">
        <f t="array" ref="G42">IF(X42="","",INDEX('Inventory - P01'!$I$16:$I$27,(INT((X42-1)/4)+1)))</f>
        <v/>
      </c>
      <c r="H42" s="19" t="str">
        <f t="array" ref="H42">IF(X42="","",INDEX('Inventory - P01'!$J$16:$J$27,(INT((X42-1)/4)+1)))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19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P01'!$D$16:$D$27,(INT((X43-1)/4)+1)))</f>
        <v/>
      </c>
      <c r="F43" s="19" t="str">
        <f t="array" ref="F43">IF(X43="","",INDEX('Inventory - P01'!$E$16:$E$27,(INT((X43-1)/4)+1)))</f>
        <v/>
      </c>
      <c r="G43" s="19" t="str">
        <f t="array" ref="G43">IF(X43="","",INDEX('Inventory - P01'!$I$16:$I$27,(INT((X43-1)/4)+1)))</f>
        <v/>
      </c>
      <c r="H43" s="19" t="str">
        <f t="array" ref="H43">IF(X43="","",INDEX('Inventory - P01'!$J$16:$J$27,(INT((X43-1)/4)+1)))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19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P01'!$D$16:$D$27,(INT((X44-1)/4)+1)))</f>
        <v/>
      </c>
      <c r="F44" s="19" t="str">
        <f t="array" ref="F44">IF(X44="","",INDEX('Inventory - P01'!$E$16:$E$27,(INT((X44-1)/4)+1)))</f>
        <v/>
      </c>
      <c r="G44" s="19" t="str">
        <f t="array" ref="G44">IF(X44="","",INDEX('Inventory - P01'!$I$16:$I$27,(INT((X44-1)/4)+1)))</f>
        <v/>
      </c>
      <c r="H44" s="19" t="str">
        <f t="array" ref="H44">IF(X44="","",INDEX('Inventory - P01'!$J$16:$J$27,(INT((X44-1)/4)+1)))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19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P01'!$D$16:$D$27,(INT((X45-1)/4)+1)))</f>
        <v/>
      </c>
      <c r="F45" s="19" t="str">
        <f t="array" ref="F45">IF(X45="","",INDEX('Inventory - P01'!$E$16:$E$27,(INT((X45-1)/4)+1)))</f>
        <v/>
      </c>
      <c r="G45" s="19" t="str">
        <f t="array" ref="G45">IF(X45="","",INDEX('Inventory - P01'!$I$16:$I$27,(INT((X45-1)/4)+1)))</f>
        <v/>
      </c>
      <c r="H45" s="19" t="str">
        <f t="array" ref="H45">IF(X45="","",INDEX('Inventory - P01'!$J$16:$J$27,(INT((X45-1)/4)+1)))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19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P01'!$D$16:$D$27,(INT((X46-1)/4)+1)))</f>
        <v/>
      </c>
      <c r="F46" s="19" t="str">
        <f t="array" ref="F46">IF(X46="","",INDEX('Inventory - P01'!$E$16:$E$27,(INT((X46-1)/4)+1)))</f>
        <v/>
      </c>
      <c r="G46" s="19" t="str">
        <f t="array" ref="G46">IF(X46="","",INDEX('Inventory - P01'!$I$16:$I$27,(INT((X46-1)/4)+1)))</f>
        <v/>
      </c>
      <c r="H46" s="19" t="str">
        <f t="array" ref="H46">IF(X46="","",INDEX('Inventory - P01'!$J$16:$J$27,(INT((X46-1)/4)+1)))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19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P01'!$D$16:$D$27,(INT((X47-1)/4)+1)))</f>
        <v/>
      </c>
      <c r="F47" s="19" t="str">
        <f t="array" ref="F47">IF(X47="","",INDEX('Inventory - P01'!$E$16:$E$27,(INT((X47-1)/4)+1)))</f>
        <v/>
      </c>
      <c r="G47" s="19" t="str">
        <f t="array" ref="G47">IF(X47="","",INDEX('Inventory - P01'!$I$16:$I$27,(INT((X47-1)/4)+1)))</f>
        <v/>
      </c>
      <c r="H47" s="19" t="str">
        <f t="array" ref="H47">IF(X47="","",INDEX('Inventory - P01'!$J$16:$J$27,(INT((X47-1)/4)+1)))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19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P01'!$D$16:$D$27,(INT((X48-1)/4)+1)))</f>
        <v/>
      </c>
      <c r="F48" s="19" t="str">
        <f t="array" ref="F48">IF(X48="","",INDEX('Inventory - P01'!$E$16:$E$27,(INT((X48-1)/4)+1)))</f>
        <v/>
      </c>
      <c r="G48" s="19" t="str">
        <f t="array" ref="G48">IF(X48="","",INDEX('Inventory - P01'!$I$16:$I$27,(INT((X48-1)/4)+1)))</f>
        <v/>
      </c>
      <c r="H48" s="19" t="str">
        <f t="array" ref="H48">IF(X48="","",INDEX('Inventory - P01'!$J$16:$J$27,(INT((X48-1)/4)+1)))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>8:00 PM</v>
      </c>
      <c r="B50" s="19">
        <f t="shared" ref="B50:B61" si="11">IF(X50="","",(INT((X50-1)/4)+1))</f>
        <v>1</v>
      </c>
      <c r="C50" s="46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19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19" t="str">
        <f t="array" ref="E50">IF(X50="","",INDEX('Inventory - P01'!$D$16:$D$27,(INT((X50-1)/4)+1)))</f>
        <v>PO</v>
      </c>
      <c r="F50" s="19">
        <f t="array" ref="F50">IF(X50="","",INDEX('Inventory - P01'!$E$16:$E$27,(INT((X50-1)/4)+1)))</f>
        <v>4</v>
      </c>
      <c r="G50" s="19" t="str">
        <f t="array" ref="G50">IF(X50="","",INDEX('Inventory - P01'!$I$16:$I$27,(INT((X50-1)/4)+1)))</f>
        <v>Y</v>
      </c>
      <c r="H50" s="19" t="str">
        <f t="array" ref="H50">IF(X50="","",INDEX('Inventory - P01'!$J$16:$J$27,(INT((X50-1)/4)+1)))</f>
        <v>Physical</v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0.8333333363</v>
      </c>
      <c r="X50" s="3">
        <f t="shared" ref="X50:X61" si="12">IF(W50&lt;9,MATCH(W50,$AC$67:$AC$114,0),"")</f>
        <v>4</v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19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P01'!$D$16:$D$27,(INT((X51-1)/4)+1)))</f>
        <v/>
      </c>
      <c r="F51" s="19" t="str">
        <f t="array" ref="F51">IF(X51="","",INDEX('Inventory - P01'!$E$16:$E$27,(INT((X51-1)/4)+1)))</f>
        <v/>
      </c>
      <c r="G51" s="19" t="str">
        <f t="array" ref="G51">IF(X51="","",INDEX('Inventory - P01'!$I$16:$I$27,(INT((X51-1)/4)+1)))</f>
        <v/>
      </c>
      <c r="H51" s="19" t="str">
        <f t="array" ref="H51">IF(X51="","",INDEX('Inventory - P01'!$J$16:$J$27,(INT((X51-1)/4)+1)))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19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P01'!$D$16:$D$27,(INT((X52-1)/4)+1)))</f>
        <v/>
      </c>
      <c r="F52" s="19" t="str">
        <f t="array" ref="F52">IF(X52="","",INDEX('Inventory - P01'!$E$16:$E$27,(INT((X52-1)/4)+1)))</f>
        <v/>
      </c>
      <c r="G52" s="19" t="str">
        <f t="array" ref="G52">IF(X52="","",INDEX('Inventory - P01'!$I$16:$I$27,(INT((X52-1)/4)+1)))</f>
        <v/>
      </c>
      <c r="H52" s="19" t="str">
        <f t="array" ref="H52">IF(X52="","",INDEX('Inventory - P01'!$J$16:$J$27,(INT((X52-1)/4)+1)))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19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P01'!$D$16:$D$27,(INT((X53-1)/4)+1)))</f>
        <v/>
      </c>
      <c r="F53" s="19" t="str">
        <f t="array" ref="F53">IF(X53="","",INDEX('Inventory - P01'!$E$16:$E$27,(INT((X53-1)/4)+1)))</f>
        <v/>
      </c>
      <c r="G53" s="19" t="str">
        <f t="array" ref="G53">IF(X53="","",INDEX('Inventory - P01'!$I$16:$I$27,(INT((X53-1)/4)+1)))</f>
        <v/>
      </c>
      <c r="H53" s="19" t="str">
        <f t="array" ref="H53">IF(X53="","",INDEX('Inventory - P01'!$J$16:$J$27,(INT((X53-1)/4)+1)))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19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P01'!$D$16:$D$27,(INT((X54-1)/4)+1)))</f>
        <v/>
      </c>
      <c r="F54" s="19" t="str">
        <f t="array" ref="F54">IF(X54="","",INDEX('Inventory - P01'!$E$16:$E$27,(INT((X54-1)/4)+1)))</f>
        <v/>
      </c>
      <c r="G54" s="19" t="str">
        <f t="array" ref="G54">IF(X54="","",INDEX('Inventory - P01'!$I$16:$I$27,(INT((X54-1)/4)+1)))</f>
        <v/>
      </c>
      <c r="H54" s="19" t="str">
        <f t="array" ref="H54">IF(X54="","",INDEX('Inventory - P01'!$J$16:$J$27,(INT((X54-1)/4)+1)))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19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P01'!$D$16:$D$27,(INT((X55-1)/4)+1)))</f>
        <v/>
      </c>
      <c r="F55" s="19" t="str">
        <f t="array" ref="F55">IF(X55="","",INDEX('Inventory - P01'!$E$16:$E$27,(INT((X55-1)/4)+1)))</f>
        <v/>
      </c>
      <c r="G55" s="19" t="str">
        <f t="array" ref="G55">IF(X55="","",INDEX('Inventory - P01'!$I$16:$I$27,(INT((X55-1)/4)+1)))</f>
        <v/>
      </c>
      <c r="H55" s="19" t="str">
        <f t="array" ref="H55">IF(X55="","",INDEX('Inventory - P01'!$J$16:$J$27,(INT((X55-1)/4)+1)))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19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P01'!$D$16:$D$27,(INT((X56-1)/4)+1)))</f>
        <v/>
      </c>
      <c r="F56" s="19" t="str">
        <f t="array" ref="F56">IF(X56="","",INDEX('Inventory - P01'!$E$16:$E$27,(INT((X56-1)/4)+1)))</f>
        <v/>
      </c>
      <c r="G56" s="19" t="str">
        <f t="array" ref="G56">IF(X56="","",INDEX('Inventory - P01'!$I$16:$I$27,(INT((X56-1)/4)+1)))</f>
        <v/>
      </c>
      <c r="H56" s="19" t="str">
        <f t="array" ref="H56">IF(X56="","",INDEX('Inventory - P01'!$J$16:$J$27,(INT((X56-1)/4)+1)))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19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P01'!$D$16:$D$27,(INT((X57-1)/4)+1)))</f>
        <v/>
      </c>
      <c r="F57" s="19" t="str">
        <f t="array" ref="F57">IF(X57="","",INDEX('Inventory - P01'!$E$16:$E$27,(INT((X57-1)/4)+1)))</f>
        <v/>
      </c>
      <c r="G57" s="19" t="str">
        <f t="array" ref="G57">IF(X57="","",INDEX('Inventory - P01'!$I$16:$I$27,(INT((X57-1)/4)+1)))</f>
        <v/>
      </c>
      <c r="H57" s="19" t="str">
        <f t="array" ref="H57">IF(X57="","",INDEX('Inventory - P01'!$J$16:$J$27,(INT((X57-1)/4)+1)))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19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P01'!$D$16:$D$27,(INT((X58-1)/4)+1)))</f>
        <v/>
      </c>
      <c r="F58" s="19" t="str">
        <f t="array" ref="F58">IF(X58="","",INDEX('Inventory - P01'!$E$16:$E$27,(INT((X58-1)/4)+1)))</f>
        <v/>
      </c>
      <c r="G58" s="19" t="str">
        <f t="array" ref="G58">IF(X58="","",INDEX('Inventory - P01'!$I$16:$I$27,(INT((X58-1)/4)+1)))</f>
        <v/>
      </c>
      <c r="H58" s="19" t="str">
        <f t="array" ref="H58">IF(X58="","",INDEX('Inventory - P01'!$J$16:$J$27,(INT((X58-1)/4)+1)))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19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P01'!$D$16:$D$27,(INT((X59-1)/4)+1)))</f>
        <v/>
      </c>
      <c r="F59" s="19" t="str">
        <f t="array" ref="F59">IF(X59="","",INDEX('Inventory - P01'!$E$16:$E$27,(INT((X59-1)/4)+1)))</f>
        <v/>
      </c>
      <c r="G59" s="19" t="str">
        <f t="array" ref="G59">IF(X59="","",INDEX('Inventory - P01'!$I$16:$I$27,(INT((X59-1)/4)+1)))</f>
        <v/>
      </c>
      <c r="H59" s="19" t="str">
        <f t="array" ref="H59">IF(X59="","",INDEX('Inventory - P01'!$J$16:$J$27,(INT((X59-1)/4)+1)))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19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P01'!$D$16:$D$27,(INT((X60-1)/4)+1)))</f>
        <v/>
      </c>
      <c r="F60" s="19" t="str">
        <f t="array" ref="F60">IF(X60="","",INDEX('Inventory - P01'!$E$16:$E$27,(INT((X60-1)/4)+1)))</f>
        <v/>
      </c>
      <c r="G60" s="19" t="str">
        <f t="array" ref="G60">IF(X60="","",INDEX('Inventory - P01'!$I$16:$I$27,(INT((X60-1)/4)+1)))</f>
        <v/>
      </c>
      <c r="H60" s="19" t="str">
        <f t="array" ref="H60">IF(X60="","",INDEX('Inventory - P01'!$J$16:$J$27,(INT((X60-1)/4)+1)))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19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P01'!$D$16:$D$27,(INT((X61-1)/4)+1)))</f>
        <v/>
      </c>
      <c r="F61" s="19" t="str">
        <f t="array" ref="F61">IF(X61="","",INDEX('Inventory - P01'!$E$16:$E$27,(INT((X61-1)/4)+1)))</f>
        <v/>
      </c>
      <c r="G61" s="19" t="str">
        <f t="array" ref="G61">IF(X61="","",INDEX('Inventory - P01'!$I$16:$I$27,(INT((X61-1)/4)+1)))</f>
        <v/>
      </c>
      <c r="H61" s="19" t="str">
        <f t="array" ref="H61">IF(X61="","",INDEX('Inventory - P01'!$J$16:$J$27,(INT((X61-1)/4)+1)))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146">
        <f>IF(OR('Inventory - P01'!E16&lt;1,'Inventory - P01'!F16="",'Inventory - P01'!G16=""),9,MOD('Inventory - P01'!F16+0*'Inventory - P01'!G16/24,1))</f>
        <v>0.3333333333</v>
      </c>
      <c r="Z67" s="146">
        <f>IF(Y67=9,9,IF(AND(Y67&gt;=6/24,Y67&lt;12/24),Y67+0*0.000000001,9))</f>
        <v>0.3333333333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146">
        <f>IF(OR('Inventory - P01'!E16&lt;2,'Inventory - P01'!F16="",'Inventory - P01'!G16=""),9,MOD('Inventory - P01'!F16+1*'Inventory - P01'!G16/24,1))</f>
        <v>0.5</v>
      </c>
      <c r="Z68" s="3">
        <f>IF(Y68=9,9,IF(AND(Y68&gt;=6/24,Y68&lt;12/24),Y68+1*0.000000001,9))</f>
        <v>9</v>
      </c>
      <c r="AA68" s="146">
        <f>IF(Y68=9,9,IF(AND(Y68&gt;=12/24,Y68&lt;17/24),Y68+1*0.000000001,9))</f>
        <v>0.500000001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146">
        <f>IF(OR('Inventory - P01'!E16&lt;3,'Inventory - P01'!F16="",'Inventory - P01'!G16=""),9,MOD('Inventory - P01'!F16+2*'Inventory - P01'!G16/24,1))</f>
        <v>0.6666666667</v>
      </c>
      <c r="Z69" s="3">
        <f>IF(Y69=9,9,IF(AND(Y69&gt;=6/24,Y69&lt;12/24),Y69+2*0.000000001,9))</f>
        <v>9</v>
      </c>
      <c r="AA69" s="146">
        <f>IF(Y69=9,9,IF(AND(Y69&gt;=12/24,Y69&lt;17/24),Y69+2*0.000000001,9))</f>
        <v>0.6666666687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146">
        <f>IF(OR('Inventory - P01'!E16&lt;4,'Inventory - P01'!F16="",'Inventory - P01'!G16=""),9,MOD('Inventory - P01'!F16+3*'Inventory - P01'!G16/24,1))</f>
        <v>0.8333333333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146">
        <f>IF(Y70=9,9,IF(OR(Y70&gt;=20/24,Y70&lt;6/24),Y70+3*0.000000001,9))</f>
        <v>0.8333333363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P01'!E17&lt;1,'Inventory - P01'!F17="",'Inventory - P01'!G17=""),9,MOD('Inventory - P01'!F17+0*'Inventory - P01'!G17/24,1))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P01'!E17&lt;2,'Inventory - P01'!F17="",'Inventory - P01'!G17=""),9,MOD('Inventory - P01'!F17+1*'Inventory - P01'!G17/24,1))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P01'!E17&lt;3,'Inventory - P01'!F17="",'Inventory - P01'!G17=""),9,MOD('Inventory - P01'!F17+2*'Inventory - P01'!G17/24,1))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P01'!E17&lt;4,'Inventory - P01'!F17="",'Inventory - P01'!G17=""),9,MOD('Inventory - P01'!F17+3*'Inventory - P01'!G17/24,1))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P01'!E18&lt;1,'Inventory - P01'!F18="",'Inventory - P01'!G18=""),9,MOD('Inventory - P01'!F18+0*'Inventory - P01'!G18/24,1))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P01'!E18&lt;2,'Inventory - P01'!F18="",'Inventory - P01'!G18=""),9,MOD('Inventory - P01'!F18+1*'Inventory - P01'!G18/24,1))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P01'!E18&lt;3,'Inventory - P01'!F18="",'Inventory - P01'!G18=""),9,MOD('Inventory - P01'!F18+2*'Inventory - P01'!G18/24,1))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P01'!E18&lt;4,'Inventory - P01'!F18="",'Inventory - P01'!G18=""),9,MOD('Inventory - P01'!F18+3*'Inventory - P01'!G18/24,1))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P01'!E19&lt;1,'Inventory - P01'!F19="",'Inventory - P01'!G19=""),9,MOD('Inventory - P01'!F19+0*'Inventory - P01'!G19/24,1))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P01'!E19&lt;2,'Inventory - P01'!F19="",'Inventory - P01'!G19=""),9,MOD('Inventory - P01'!F19+1*'Inventory - P01'!G19/24,1))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P01'!E19&lt;3,'Inventory - P01'!F19="",'Inventory - P01'!G19=""),9,MOD('Inventory - P01'!F19+2*'Inventory - P01'!G19/24,1))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P01'!E19&lt;4,'Inventory - P01'!F19="",'Inventory - P01'!G19=""),9,MOD('Inventory - P01'!F19+3*'Inventory - P01'!G19/24,1))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P01'!E20&lt;1,'Inventory - P01'!F20="",'Inventory - P01'!G20=""),9,MOD('Inventory - P01'!F20+0*'Inventory - P01'!G20/24,1))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P01'!E20&lt;2,'Inventory - P01'!F20="",'Inventory - P01'!G20=""),9,MOD('Inventory - P01'!F20+1*'Inventory - P01'!G20/24,1))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P01'!E20&lt;3,'Inventory - P01'!F20="",'Inventory - P01'!G20=""),9,MOD('Inventory - P01'!F20+2*'Inventory - P01'!G20/24,1))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P01'!E20&lt;4,'Inventory - P01'!F20="",'Inventory - P01'!G20=""),9,MOD('Inventory - P01'!F20+3*'Inventory - P01'!G20/24,1))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P01'!E21&lt;1,'Inventory - P01'!F21="",'Inventory - P01'!G21=""),9,MOD('Inventory - P01'!F21+0*'Inventory - P01'!G21/24,1))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P01'!E21&lt;2,'Inventory - P01'!F21="",'Inventory - P01'!G21=""),9,MOD('Inventory - P01'!F21+1*'Inventory - P01'!G21/24,1))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P01'!E21&lt;3,'Inventory - P01'!F21="",'Inventory - P01'!G21=""),9,MOD('Inventory - P01'!F21+2*'Inventory - P01'!G21/24,1))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P01'!E21&lt;4,'Inventory - P01'!F21="",'Inventory - P01'!G21=""),9,MOD('Inventory - P01'!F21+3*'Inventory - P01'!G21/24,1))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P01'!E22&lt;1,'Inventory - P01'!F22="",'Inventory - P01'!G22=""),9,MOD('Inventory - P01'!F22+0*'Inventory - P01'!G22/24,1))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P01'!E22&lt;2,'Inventory - P01'!F22="",'Inventory - P01'!G22=""),9,MOD('Inventory - P01'!F22+1*'Inventory - P01'!G22/24,1))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P01'!E22&lt;3,'Inventory - P01'!F22="",'Inventory - P01'!G22=""),9,MOD('Inventory - P01'!F22+2*'Inventory - P01'!G22/24,1))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P01'!E22&lt;4,'Inventory - P01'!F22="",'Inventory - P01'!G22=""),9,MOD('Inventory - P01'!F22+3*'Inventory - P01'!G22/24,1))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P01'!E23&lt;1,'Inventory - P01'!F23="",'Inventory - P01'!G23=""),9,MOD('Inventory - P01'!F23+0*'Inventory - P01'!G23/24,1))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P01'!E23&lt;2,'Inventory - P01'!F23="",'Inventory - P01'!G23=""),9,MOD('Inventory - P01'!F23+1*'Inventory - P01'!G23/24,1))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P01'!E23&lt;3,'Inventory - P01'!F23="",'Inventory - P01'!G23=""),9,MOD('Inventory - P01'!F23+2*'Inventory - P01'!G23/24,1))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P01'!E23&lt;4,'Inventory - P01'!F23="",'Inventory - P01'!G23=""),9,MOD('Inventory - P01'!F23+3*'Inventory - P01'!G23/24,1))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P01'!E24&lt;1,'Inventory - P01'!F24="",'Inventory - P01'!G24=""),9,MOD('Inventory - P01'!F24+0*'Inventory - P01'!G24/24,1))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P01'!E24&lt;2,'Inventory - P01'!F24="",'Inventory - P01'!G24=""),9,MOD('Inventory - P01'!F24+1*'Inventory - P01'!G24/24,1))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P01'!E24&lt;3,'Inventory - P01'!F24="",'Inventory - P01'!G24=""),9,MOD('Inventory - P01'!F24+2*'Inventory - P01'!G24/24,1))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P01'!E24&lt;4,'Inventory - P01'!F24="",'Inventory - P01'!G24=""),9,MOD('Inventory - P01'!F24+3*'Inventory - P01'!G24/24,1))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P01'!E25&lt;1,'Inventory - P01'!F25="",'Inventory - P01'!G25=""),9,MOD('Inventory - P01'!F25+0*'Inventory - P01'!G25/24,1))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P01'!E25&lt;2,'Inventory - P01'!F25="",'Inventory - P01'!G25=""),9,MOD('Inventory - P01'!F25+1*'Inventory - P01'!G25/24,1))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P01'!E25&lt;3,'Inventory - P01'!F25="",'Inventory - P01'!G25=""),9,MOD('Inventory - P01'!F25+2*'Inventory - P01'!G25/24,1))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P01'!E25&lt;4,'Inventory - P01'!F25="",'Inventory - P01'!G25=""),9,MOD('Inventory - P01'!F25+3*'Inventory - P01'!G25/24,1))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P01'!E26&lt;1,'Inventory - P01'!F26="",'Inventory - P01'!G26=""),9,MOD('Inventory - P01'!F26+0*'Inventory - P01'!G26/24,1))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P01'!E26&lt;2,'Inventory - P01'!F26="",'Inventory - P01'!G26=""),9,MOD('Inventory - P01'!F26+1*'Inventory - P01'!G26/24,1))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P01'!E26&lt;3,'Inventory - P01'!F26="",'Inventory - P01'!G26=""),9,MOD('Inventory - P01'!F26+2*'Inventory - P01'!G26/24,1))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P01'!E26&lt;4,'Inventory - P01'!F26="",'Inventory - P01'!G26=""),9,MOD('Inventory - P01'!F26+3*'Inventory - P01'!G26/24,1))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P01'!E27&lt;1,'Inventory - P01'!F27="",'Inventory - P01'!G27=""),9,MOD('Inventory - P01'!F27+0*'Inventory - P01'!G27/24,1))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P01'!E27&lt;2,'Inventory - P01'!F27="",'Inventory - P01'!G27=""),9,MOD('Inventory - P01'!F27+1*'Inventory - P01'!G27/24,1))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P01'!E27&lt;3,'Inventory - P01'!F27="",'Inventory - P01'!G27=""),9,MOD('Inventory - P01'!F27+2*'Inventory - P01'!G27/24,1))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P01'!E27&lt;4,'Inventory - P01'!F27="",'Inventory - P01'!G27=""),9,MOD('Inventory - P01'!F27+3*'Inventory - P01'!G27/24,1))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8">
    <mergeCell ref="A1:K1"/>
    <mergeCell ref="A3:E4"/>
    <mergeCell ref="F3:K4"/>
    <mergeCell ref="D5:E5"/>
    <mergeCell ref="G5:H5"/>
    <mergeCell ref="J5:K5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Tracker'!S6="","","INV-"&amp;SUBSTITUTE('Client Needs Tracker'!S6," ",""))</f>
        <v>INV-M-1B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Tracker'!B6="","(Add client on Client Needs Tracker, row 6)",'Client Needs Tracker'!B6)</f>
        <v>Mikayla Cross</v>
      </c>
      <c r="B6" s="104"/>
      <c r="C6" s="104"/>
      <c r="D6" s="104"/>
      <c r="E6" s="104"/>
      <c r="F6" s="105">
        <f>'Client Needs Tracker'!A6</f>
        <v>258025</v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>
        <f>IF('Client Needs Tracker'!C6="","",'Client Needs Tracker'!C6)</f>
        <v>46235</v>
      </c>
      <c r="B8" s="104"/>
      <c r="C8" s="104"/>
      <c r="D8" s="104"/>
      <c r="E8" s="104"/>
      <c r="F8" s="108" t="str">
        <f>'Client Needs Tracker'!E6</f>
        <v>LOC3</v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Tracker'!F6="","",'Client Needs Tracker'!F6)</f>
        <v>J. Wilkers</v>
      </c>
      <c r="B10" s="104"/>
      <c r="C10" s="104"/>
      <c r="D10" s="104"/>
      <c r="E10" s="104"/>
      <c r="F10" s="110" t="str">
        <f>IF('Client Status Board'!G6="","",'Client Status Board'!G6)</f>
        <v>Destiny</v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Board'!L6="","",'Client Status Board'!L6)</f>
        <v>HEB</v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12">
        <v>46237.0</v>
      </c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17">
        <v>58669.0</v>
      </c>
      <c r="B16" s="35" t="s">
        <v>125</v>
      </c>
      <c r="C16" s="29">
        <v>300.0</v>
      </c>
      <c r="D16" s="29" t="s">
        <v>201</v>
      </c>
      <c r="E16" s="29">
        <v>2.0</v>
      </c>
      <c r="F16" s="145">
        <v>0.3333333333333333</v>
      </c>
      <c r="G16" s="29">
        <v>12.0</v>
      </c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29" t="s">
        <v>48</v>
      </c>
      <c r="J16" s="29" t="s">
        <v>217</v>
      </c>
      <c r="K16" s="29">
        <v>60.0</v>
      </c>
      <c r="L16" s="12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howErrorMessage="1" sqref="C16">
      <formula1>"150,300,450,600"</formula1>
    </dataValidation>
    <dataValidation type="list" allowBlank="1" sqref="C17:C27">
      <formula1>INDIRECT("MG_"&amp;SUBSTITUTE(SUBSTITUTE(SUBSTITUTE(SUBSTITUTE(LEFT($B17,IFERROR(FIND(" (",$B17)-1,LEN($B17))),"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ht="15.0" customHeight="1">
      <c r="A3" s="130" t="str">
        <f>IF('Inventory - P02'!A6="","(Enter name in Inventory - P02)",'Inventory - P02'!A6)</f>
        <v>Mikayla Cross</v>
      </c>
      <c r="B3" s="131"/>
      <c r="C3" s="131"/>
      <c r="D3" s="131"/>
      <c r="E3" s="131"/>
      <c r="F3" s="132" t="str">
        <f>IF('Inventory - P02'!F6="","(Enter ID in Inventory - P02)","Member ID: "&amp;'Inventory - P02'!F6)</f>
        <v>Member ID: 258025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Tracker'!S6="","","INV-"&amp;SUBSTITUTE('Client Needs Tracker'!S6," ",""))</f>
        <v>INV-M-1B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P02'!F8="","-",'Inventory - P02'!F8)</f>
        <v>LOC: LOC3</v>
      </c>
      <c r="C5" s="3"/>
      <c r="D5" s="134" t="str">
        <f>"Case Manager: "&amp;IF('Inventory - P02'!A10="","-",'Inventory - P02'!A10)</f>
        <v>Case Manager: J. Wilkers</v>
      </c>
      <c r="F5" s="3"/>
      <c r="G5" s="134" t="str">
        <f>"Doctor: "&amp;IF('Inventory - P02'!F10="","-",'Inventory - P02'!F10)</f>
        <v>Doctor: Destiny</v>
      </c>
      <c r="I5" s="3"/>
      <c r="J5" s="134" t="str">
        <f>"Pharmacy: "&amp;IF('Inventory - P02'!A12="","-",'Inventory - P02'!A12)</f>
        <v>Pharmacy: HEB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>
        <f>IF('Inventory - P02'!A14="","",'Inventory - P02'!A14)</f>
        <v>46237</v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>
        <f>IF('Inventory - P02'!A14="","",'Inventory - P02'!A14+0)</f>
        <v>46237</v>
      </c>
      <c r="J8" s="139"/>
      <c r="K8" s="138">
        <f>IF('Inventory - P02'!A14="","",'Inventory - P02'!A14+1)</f>
        <v>46238</v>
      </c>
      <c r="L8" s="139"/>
      <c r="M8" s="138">
        <f>IF('Inventory - P02'!A14="","",'Inventory - P02'!A14+2)</f>
        <v>46239</v>
      </c>
      <c r="N8" s="139"/>
      <c r="O8" s="138">
        <f>IF('Inventory - P02'!A14="","",'Inventory - P02'!A14+3)</f>
        <v>46240</v>
      </c>
      <c r="P8" s="139"/>
      <c r="Q8" s="138">
        <f>IF('Inventory - P02'!A14="","",'Inventory - P02'!A14+4)</f>
        <v>46241</v>
      </c>
      <c r="R8" s="139"/>
      <c r="S8" s="138">
        <f>IF('Inventory - P02'!A14="","",'Inventory - P02'!A14+5)</f>
        <v>46242</v>
      </c>
      <c r="T8" s="139"/>
      <c r="U8" s="138">
        <f>IF('Inventory - P02'!A14="","",'Inventory - P02'!A14+6)</f>
        <v>46243</v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>8:00 AM</v>
      </c>
      <c r="B11" s="19">
        <f t="shared" ref="B11:B22" si="2">IF(X11="","",(INT((X11-1)/4)+1))</f>
        <v>1</v>
      </c>
      <c r="C11" s="46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19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19" t="str">
        <f t="array" ref="E11">IF(X11="","",INDEX('Inventory - P02'!$D$16:$D$27,(INT((X11-1)/4)+1)))</f>
        <v>PO</v>
      </c>
      <c r="F11" s="19">
        <f t="array" ref="F11">IF(X11="","",INDEX('Inventory - P02'!$E$16:$E$27,(INT((X11-1)/4)+1)))</f>
        <v>2</v>
      </c>
      <c r="G11" s="19" t="str">
        <f t="array" ref="G11">IF(X11="","",INDEX('Inventory - P02'!$I$16:$I$27,(INT((X11-1)/4)+1)))</f>
        <v>Y</v>
      </c>
      <c r="H11" s="19" t="str">
        <f t="array" ref="H11">IF(X11="","",INDEX('Inventory - P02'!$J$16:$J$27,(INT((X11-1)/4)+1)))</f>
        <v>Psychological</v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0.3333333333</v>
      </c>
      <c r="X11" s="3">
        <f t="shared" ref="X11:X22" si="3">IF(W11&lt;9,MATCH(W11,$Z$67:$Z$114,0),"")</f>
        <v>1</v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19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P02'!$D$16:$D$27,(INT((X12-1)/4)+1)))</f>
        <v/>
      </c>
      <c r="F12" s="19" t="str">
        <f t="array" ref="F12">IF(X12="","",INDEX('Inventory - P02'!$E$16:$E$27,(INT((X12-1)/4)+1)))</f>
        <v/>
      </c>
      <c r="G12" s="19" t="str">
        <f t="array" ref="G12">IF(X12="","",INDEX('Inventory - P02'!$I$16:$I$27,(INT((X12-1)/4)+1)))</f>
        <v/>
      </c>
      <c r="H12" s="19" t="str">
        <f t="array" ref="H12">IF(X12="","",INDEX('Inventory - P02'!$J$16:$J$27,(INT((X12-1)/4)+1)))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19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P02'!$D$16:$D$27,(INT((X13-1)/4)+1)))</f>
        <v/>
      </c>
      <c r="F13" s="19" t="str">
        <f t="array" ref="F13">IF(X13="","",INDEX('Inventory - P02'!$E$16:$E$27,(INT((X13-1)/4)+1)))</f>
        <v/>
      </c>
      <c r="G13" s="19" t="str">
        <f t="array" ref="G13">IF(X13="","",INDEX('Inventory - P02'!$I$16:$I$27,(INT((X13-1)/4)+1)))</f>
        <v/>
      </c>
      <c r="H13" s="19" t="str">
        <f t="array" ref="H13">IF(X13="","",INDEX('Inventory - P02'!$J$16:$J$27,(INT((X13-1)/4)+1)))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19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P02'!$D$16:$D$27,(INT((X14-1)/4)+1)))</f>
        <v/>
      </c>
      <c r="F14" s="19" t="str">
        <f t="array" ref="F14">IF(X14="","",INDEX('Inventory - P02'!$E$16:$E$27,(INT((X14-1)/4)+1)))</f>
        <v/>
      </c>
      <c r="G14" s="19" t="str">
        <f t="array" ref="G14">IF(X14="","",INDEX('Inventory - P02'!$I$16:$I$27,(INT((X14-1)/4)+1)))</f>
        <v/>
      </c>
      <c r="H14" s="19" t="str">
        <f t="array" ref="H14">IF(X14="","",INDEX('Inventory - P02'!$J$16:$J$27,(INT((X14-1)/4)+1)))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19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P02'!$D$16:$D$27,(INT((X15-1)/4)+1)))</f>
        <v/>
      </c>
      <c r="F15" s="19" t="str">
        <f t="array" ref="F15">IF(X15="","",INDEX('Inventory - P02'!$E$16:$E$27,(INT((X15-1)/4)+1)))</f>
        <v/>
      </c>
      <c r="G15" s="19" t="str">
        <f t="array" ref="G15">IF(X15="","",INDEX('Inventory - P02'!$I$16:$I$27,(INT((X15-1)/4)+1)))</f>
        <v/>
      </c>
      <c r="H15" s="19" t="str">
        <f t="array" ref="H15">IF(X15="","",INDEX('Inventory - P02'!$J$16:$J$27,(INT((X15-1)/4)+1)))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19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P02'!$D$16:$D$27,(INT((X16-1)/4)+1)))</f>
        <v/>
      </c>
      <c r="F16" s="19" t="str">
        <f t="array" ref="F16">IF(X16="","",INDEX('Inventory - P02'!$E$16:$E$27,(INT((X16-1)/4)+1)))</f>
        <v/>
      </c>
      <c r="G16" s="19" t="str">
        <f t="array" ref="G16">IF(X16="","",INDEX('Inventory - P02'!$I$16:$I$27,(INT((X16-1)/4)+1)))</f>
        <v/>
      </c>
      <c r="H16" s="19" t="str">
        <f t="array" ref="H16">IF(X16="","",INDEX('Inventory - P02'!$J$16:$J$27,(INT((X16-1)/4)+1)))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19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P02'!$D$16:$D$27,(INT((X17-1)/4)+1)))</f>
        <v/>
      </c>
      <c r="F17" s="19" t="str">
        <f t="array" ref="F17">IF(X17="","",INDEX('Inventory - P02'!$E$16:$E$27,(INT((X17-1)/4)+1)))</f>
        <v/>
      </c>
      <c r="G17" s="19" t="str">
        <f t="array" ref="G17">IF(X17="","",INDEX('Inventory - P02'!$I$16:$I$27,(INT((X17-1)/4)+1)))</f>
        <v/>
      </c>
      <c r="H17" s="19" t="str">
        <f t="array" ref="H17">IF(X17="","",INDEX('Inventory - P02'!$J$16:$J$27,(INT((X17-1)/4)+1)))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19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P02'!$D$16:$D$27,(INT((X18-1)/4)+1)))</f>
        <v/>
      </c>
      <c r="F18" s="19" t="str">
        <f t="array" ref="F18">IF(X18="","",INDEX('Inventory - P02'!$E$16:$E$27,(INT((X18-1)/4)+1)))</f>
        <v/>
      </c>
      <c r="G18" s="19" t="str">
        <f t="array" ref="G18">IF(X18="","",INDEX('Inventory - P02'!$I$16:$I$27,(INT((X18-1)/4)+1)))</f>
        <v/>
      </c>
      <c r="H18" s="19" t="str">
        <f t="array" ref="H18">IF(X18="","",INDEX('Inventory - P02'!$J$16:$J$27,(INT((X18-1)/4)+1)))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19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P02'!$D$16:$D$27,(INT((X19-1)/4)+1)))</f>
        <v/>
      </c>
      <c r="F19" s="19" t="str">
        <f t="array" ref="F19">IF(X19="","",INDEX('Inventory - P02'!$E$16:$E$27,(INT((X19-1)/4)+1)))</f>
        <v/>
      </c>
      <c r="G19" s="19" t="str">
        <f t="array" ref="G19">IF(X19="","",INDEX('Inventory - P02'!$I$16:$I$27,(INT((X19-1)/4)+1)))</f>
        <v/>
      </c>
      <c r="H19" s="19" t="str">
        <f t="array" ref="H19">IF(X19="","",INDEX('Inventory - P02'!$J$16:$J$27,(INT((X19-1)/4)+1)))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19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P02'!$D$16:$D$27,(INT((X20-1)/4)+1)))</f>
        <v/>
      </c>
      <c r="F20" s="19" t="str">
        <f t="array" ref="F20">IF(X20="","",INDEX('Inventory - P02'!$E$16:$E$27,(INT((X20-1)/4)+1)))</f>
        <v/>
      </c>
      <c r="G20" s="19" t="str">
        <f t="array" ref="G20">IF(X20="","",INDEX('Inventory - P02'!$I$16:$I$27,(INT((X20-1)/4)+1)))</f>
        <v/>
      </c>
      <c r="H20" s="19" t="str">
        <f t="array" ref="H20">IF(X20="","",INDEX('Inventory - P02'!$J$16:$J$27,(INT((X20-1)/4)+1)))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19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P02'!$D$16:$D$27,(INT((X21-1)/4)+1)))</f>
        <v/>
      </c>
      <c r="F21" s="19" t="str">
        <f t="array" ref="F21">IF(X21="","",INDEX('Inventory - P02'!$E$16:$E$27,(INT((X21-1)/4)+1)))</f>
        <v/>
      </c>
      <c r="G21" s="19" t="str">
        <f t="array" ref="G21">IF(X21="","",INDEX('Inventory - P02'!$I$16:$I$27,(INT((X21-1)/4)+1)))</f>
        <v/>
      </c>
      <c r="H21" s="19" t="str">
        <f t="array" ref="H21">IF(X21="","",INDEX('Inventory - P02'!$J$16:$J$27,(INT((X21-1)/4)+1)))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19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P02'!$D$16:$D$27,(INT((X22-1)/4)+1)))</f>
        <v/>
      </c>
      <c r="F22" s="19" t="str">
        <f t="array" ref="F22">IF(X22="","",INDEX('Inventory - P02'!$E$16:$E$27,(INT((X22-1)/4)+1)))</f>
        <v/>
      </c>
      <c r="G22" s="19" t="str">
        <f t="array" ref="G22">IF(X22="","",INDEX('Inventory - P02'!$I$16:$I$27,(INT((X22-1)/4)+1)))</f>
        <v/>
      </c>
      <c r="H22" s="19" t="str">
        <f t="array" ref="H22">IF(X22="","",INDEX('Inventory - P02'!$J$16:$J$27,(INT((X22-1)/4)+1)))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19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P02'!$D$16:$D$27,(INT((X24-1)/4)+1)))</f>
        <v/>
      </c>
      <c r="F24" s="19" t="str">
        <f t="array" ref="F24">IF(X24="","",INDEX('Inventory - P02'!$E$16:$E$27,(INT((X24-1)/4)+1)))</f>
        <v/>
      </c>
      <c r="G24" s="19" t="str">
        <f t="array" ref="G24">IF(X24="","",INDEX('Inventory - P02'!$I$16:$I$27,(INT((X24-1)/4)+1)))</f>
        <v/>
      </c>
      <c r="H24" s="19" t="str">
        <f t="array" ref="H24">IF(X24="","",INDEX('Inventory - P02'!$J$16:$J$27,(INT((X24-1)/4)+1)))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19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P02'!$D$16:$D$27,(INT((X25-1)/4)+1)))</f>
        <v/>
      </c>
      <c r="F25" s="19" t="str">
        <f t="array" ref="F25">IF(X25="","",INDEX('Inventory - P02'!$E$16:$E$27,(INT((X25-1)/4)+1)))</f>
        <v/>
      </c>
      <c r="G25" s="19" t="str">
        <f t="array" ref="G25">IF(X25="","",INDEX('Inventory - P02'!$I$16:$I$27,(INT((X25-1)/4)+1)))</f>
        <v/>
      </c>
      <c r="H25" s="19" t="str">
        <f t="array" ref="H25">IF(X25="","",INDEX('Inventory - P02'!$J$16:$J$27,(INT((X25-1)/4)+1)))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19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P02'!$D$16:$D$27,(INT((X26-1)/4)+1)))</f>
        <v/>
      </c>
      <c r="F26" s="19" t="str">
        <f t="array" ref="F26">IF(X26="","",INDEX('Inventory - P02'!$E$16:$E$27,(INT((X26-1)/4)+1)))</f>
        <v/>
      </c>
      <c r="G26" s="19" t="str">
        <f t="array" ref="G26">IF(X26="","",INDEX('Inventory - P02'!$I$16:$I$27,(INT((X26-1)/4)+1)))</f>
        <v/>
      </c>
      <c r="H26" s="19" t="str">
        <f t="array" ref="H26">IF(X26="","",INDEX('Inventory - P02'!$J$16:$J$27,(INT((X26-1)/4)+1)))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19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P02'!$D$16:$D$27,(INT((X27-1)/4)+1)))</f>
        <v/>
      </c>
      <c r="F27" s="19" t="str">
        <f t="array" ref="F27">IF(X27="","",INDEX('Inventory - P02'!$E$16:$E$27,(INT((X27-1)/4)+1)))</f>
        <v/>
      </c>
      <c r="G27" s="19" t="str">
        <f t="array" ref="G27">IF(X27="","",INDEX('Inventory - P02'!$I$16:$I$27,(INT((X27-1)/4)+1)))</f>
        <v/>
      </c>
      <c r="H27" s="19" t="str">
        <f t="array" ref="H27">IF(X27="","",INDEX('Inventory - P02'!$J$16:$J$27,(INT((X27-1)/4)+1)))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19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P02'!$D$16:$D$27,(INT((X28-1)/4)+1)))</f>
        <v/>
      </c>
      <c r="F28" s="19" t="str">
        <f t="array" ref="F28">IF(X28="","",INDEX('Inventory - P02'!$E$16:$E$27,(INT((X28-1)/4)+1)))</f>
        <v/>
      </c>
      <c r="G28" s="19" t="str">
        <f t="array" ref="G28">IF(X28="","",INDEX('Inventory - P02'!$I$16:$I$27,(INT((X28-1)/4)+1)))</f>
        <v/>
      </c>
      <c r="H28" s="19" t="str">
        <f t="array" ref="H28">IF(X28="","",INDEX('Inventory - P02'!$J$16:$J$27,(INT((X28-1)/4)+1)))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19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P02'!$D$16:$D$27,(INT((X29-1)/4)+1)))</f>
        <v/>
      </c>
      <c r="F29" s="19" t="str">
        <f t="array" ref="F29">IF(X29="","",INDEX('Inventory - P02'!$E$16:$E$27,(INT((X29-1)/4)+1)))</f>
        <v/>
      </c>
      <c r="G29" s="19" t="str">
        <f t="array" ref="G29">IF(X29="","",INDEX('Inventory - P02'!$I$16:$I$27,(INT((X29-1)/4)+1)))</f>
        <v/>
      </c>
      <c r="H29" s="19" t="str">
        <f t="array" ref="H29">IF(X29="","",INDEX('Inventory - P02'!$J$16:$J$27,(INT((X29-1)/4)+1)))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19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P02'!$D$16:$D$27,(INT((X30-1)/4)+1)))</f>
        <v/>
      </c>
      <c r="F30" s="19" t="str">
        <f t="array" ref="F30">IF(X30="","",INDEX('Inventory - P02'!$E$16:$E$27,(INT((X30-1)/4)+1)))</f>
        <v/>
      </c>
      <c r="G30" s="19" t="str">
        <f t="array" ref="G30">IF(X30="","",INDEX('Inventory - P02'!$I$16:$I$27,(INT((X30-1)/4)+1)))</f>
        <v/>
      </c>
      <c r="H30" s="19" t="str">
        <f t="array" ref="H30">IF(X30="","",INDEX('Inventory - P02'!$J$16:$J$27,(INT((X30-1)/4)+1)))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19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P02'!$D$16:$D$27,(INT((X31-1)/4)+1)))</f>
        <v/>
      </c>
      <c r="F31" s="19" t="str">
        <f t="array" ref="F31">IF(X31="","",INDEX('Inventory - P02'!$E$16:$E$27,(INT((X31-1)/4)+1)))</f>
        <v/>
      </c>
      <c r="G31" s="19" t="str">
        <f t="array" ref="G31">IF(X31="","",INDEX('Inventory - P02'!$I$16:$I$27,(INT((X31-1)/4)+1)))</f>
        <v/>
      </c>
      <c r="H31" s="19" t="str">
        <f t="array" ref="H31">IF(X31="","",INDEX('Inventory - P02'!$J$16:$J$27,(INT((X31-1)/4)+1)))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19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P02'!$D$16:$D$27,(INT((X32-1)/4)+1)))</f>
        <v/>
      </c>
      <c r="F32" s="19" t="str">
        <f t="array" ref="F32">IF(X32="","",INDEX('Inventory - P02'!$E$16:$E$27,(INT((X32-1)/4)+1)))</f>
        <v/>
      </c>
      <c r="G32" s="19" t="str">
        <f t="array" ref="G32">IF(X32="","",INDEX('Inventory - P02'!$I$16:$I$27,(INT((X32-1)/4)+1)))</f>
        <v/>
      </c>
      <c r="H32" s="19" t="str">
        <f t="array" ref="H32">IF(X32="","",INDEX('Inventory - P02'!$J$16:$J$27,(INT((X32-1)/4)+1)))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19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P02'!$D$16:$D$27,(INT((X33-1)/4)+1)))</f>
        <v/>
      </c>
      <c r="F33" s="19" t="str">
        <f t="array" ref="F33">IF(X33="","",INDEX('Inventory - P02'!$E$16:$E$27,(INT((X33-1)/4)+1)))</f>
        <v/>
      </c>
      <c r="G33" s="19" t="str">
        <f t="array" ref="G33">IF(X33="","",INDEX('Inventory - P02'!$I$16:$I$27,(INT((X33-1)/4)+1)))</f>
        <v/>
      </c>
      <c r="H33" s="19" t="str">
        <f t="array" ref="H33">IF(X33="","",INDEX('Inventory - P02'!$J$16:$J$27,(INT((X33-1)/4)+1)))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19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P02'!$D$16:$D$27,(INT((X34-1)/4)+1)))</f>
        <v/>
      </c>
      <c r="F34" s="19" t="str">
        <f t="array" ref="F34">IF(X34="","",INDEX('Inventory - P02'!$E$16:$E$27,(INT((X34-1)/4)+1)))</f>
        <v/>
      </c>
      <c r="G34" s="19" t="str">
        <f t="array" ref="G34">IF(X34="","",INDEX('Inventory - P02'!$I$16:$I$27,(INT((X34-1)/4)+1)))</f>
        <v/>
      </c>
      <c r="H34" s="19" t="str">
        <f t="array" ref="H34">IF(X34="","",INDEX('Inventory - P02'!$J$16:$J$27,(INT((X34-1)/4)+1)))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19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P02'!$D$16:$D$27,(INT((X35-1)/4)+1)))</f>
        <v/>
      </c>
      <c r="F35" s="19" t="str">
        <f t="array" ref="F35">IF(X35="","",INDEX('Inventory - P02'!$E$16:$E$27,(INT((X35-1)/4)+1)))</f>
        <v/>
      </c>
      <c r="G35" s="19" t="str">
        <f t="array" ref="G35">IF(X35="","",INDEX('Inventory - P02'!$I$16:$I$27,(INT((X35-1)/4)+1)))</f>
        <v/>
      </c>
      <c r="H35" s="19" t="str">
        <f t="array" ref="H35">IF(X35="","",INDEX('Inventory - P02'!$J$16:$J$27,(INT((X35-1)/4)+1)))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19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P02'!$D$16:$D$27,(INT((X37-1)/4)+1)))</f>
        <v/>
      </c>
      <c r="F37" s="19" t="str">
        <f t="array" ref="F37">IF(X37="","",INDEX('Inventory - P02'!$E$16:$E$27,(INT((X37-1)/4)+1)))</f>
        <v/>
      </c>
      <c r="G37" s="19" t="str">
        <f t="array" ref="G37">IF(X37="","",INDEX('Inventory - P02'!$I$16:$I$27,(INT((X37-1)/4)+1)))</f>
        <v/>
      </c>
      <c r="H37" s="19" t="str">
        <f t="array" ref="H37">IF(X37="","",INDEX('Inventory - P02'!$J$16:$J$27,(INT((X37-1)/4)+1)))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19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P02'!$D$16:$D$27,(INT((X38-1)/4)+1)))</f>
        <v/>
      </c>
      <c r="F38" s="19" t="str">
        <f t="array" ref="F38">IF(X38="","",INDEX('Inventory - P02'!$E$16:$E$27,(INT((X38-1)/4)+1)))</f>
        <v/>
      </c>
      <c r="G38" s="19" t="str">
        <f t="array" ref="G38">IF(X38="","",INDEX('Inventory - P02'!$I$16:$I$27,(INT((X38-1)/4)+1)))</f>
        <v/>
      </c>
      <c r="H38" s="19" t="str">
        <f t="array" ref="H38">IF(X38="","",INDEX('Inventory - P02'!$J$16:$J$27,(INT((X38-1)/4)+1)))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19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P02'!$D$16:$D$27,(INT((X39-1)/4)+1)))</f>
        <v/>
      </c>
      <c r="F39" s="19" t="str">
        <f t="array" ref="F39">IF(X39="","",INDEX('Inventory - P02'!$E$16:$E$27,(INT((X39-1)/4)+1)))</f>
        <v/>
      </c>
      <c r="G39" s="19" t="str">
        <f t="array" ref="G39">IF(X39="","",INDEX('Inventory - P02'!$I$16:$I$27,(INT((X39-1)/4)+1)))</f>
        <v/>
      </c>
      <c r="H39" s="19" t="str">
        <f t="array" ref="H39">IF(X39="","",INDEX('Inventory - P02'!$J$16:$J$27,(INT((X39-1)/4)+1)))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19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P02'!$D$16:$D$27,(INT((X40-1)/4)+1)))</f>
        <v/>
      </c>
      <c r="F40" s="19" t="str">
        <f t="array" ref="F40">IF(X40="","",INDEX('Inventory - P02'!$E$16:$E$27,(INT((X40-1)/4)+1)))</f>
        <v/>
      </c>
      <c r="G40" s="19" t="str">
        <f t="array" ref="G40">IF(X40="","",INDEX('Inventory - P02'!$I$16:$I$27,(INT((X40-1)/4)+1)))</f>
        <v/>
      </c>
      <c r="H40" s="19" t="str">
        <f t="array" ref="H40">IF(X40="","",INDEX('Inventory - P02'!$J$16:$J$27,(INT((X40-1)/4)+1)))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19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P02'!$D$16:$D$27,(INT((X41-1)/4)+1)))</f>
        <v/>
      </c>
      <c r="F41" s="19" t="str">
        <f t="array" ref="F41">IF(X41="","",INDEX('Inventory - P02'!$E$16:$E$27,(INT((X41-1)/4)+1)))</f>
        <v/>
      </c>
      <c r="G41" s="19" t="str">
        <f t="array" ref="G41">IF(X41="","",INDEX('Inventory - P02'!$I$16:$I$27,(INT((X41-1)/4)+1)))</f>
        <v/>
      </c>
      <c r="H41" s="19" t="str">
        <f t="array" ref="H41">IF(X41="","",INDEX('Inventory - P02'!$J$16:$J$27,(INT((X41-1)/4)+1)))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19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P02'!$D$16:$D$27,(INT((X42-1)/4)+1)))</f>
        <v/>
      </c>
      <c r="F42" s="19" t="str">
        <f t="array" ref="F42">IF(X42="","",INDEX('Inventory - P02'!$E$16:$E$27,(INT((X42-1)/4)+1)))</f>
        <v/>
      </c>
      <c r="G42" s="19" t="str">
        <f t="array" ref="G42">IF(X42="","",INDEX('Inventory - P02'!$I$16:$I$27,(INT((X42-1)/4)+1)))</f>
        <v/>
      </c>
      <c r="H42" s="19" t="str">
        <f t="array" ref="H42">IF(X42="","",INDEX('Inventory - P02'!$J$16:$J$27,(INT((X42-1)/4)+1)))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19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P02'!$D$16:$D$27,(INT((X43-1)/4)+1)))</f>
        <v/>
      </c>
      <c r="F43" s="19" t="str">
        <f t="array" ref="F43">IF(X43="","",INDEX('Inventory - P02'!$E$16:$E$27,(INT((X43-1)/4)+1)))</f>
        <v/>
      </c>
      <c r="G43" s="19" t="str">
        <f t="array" ref="G43">IF(X43="","",INDEX('Inventory - P02'!$I$16:$I$27,(INT((X43-1)/4)+1)))</f>
        <v/>
      </c>
      <c r="H43" s="19" t="str">
        <f t="array" ref="H43">IF(X43="","",INDEX('Inventory - P02'!$J$16:$J$27,(INT((X43-1)/4)+1)))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19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P02'!$D$16:$D$27,(INT((X44-1)/4)+1)))</f>
        <v/>
      </c>
      <c r="F44" s="19" t="str">
        <f t="array" ref="F44">IF(X44="","",INDEX('Inventory - P02'!$E$16:$E$27,(INT((X44-1)/4)+1)))</f>
        <v/>
      </c>
      <c r="G44" s="19" t="str">
        <f t="array" ref="G44">IF(X44="","",INDEX('Inventory - P02'!$I$16:$I$27,(INT((X44-1)/4)+1)))</f>
        <v/>
      </c>
      <c r="H44" s="19" t="str">
        <f t="array" ref="H44">IF(X44="","",INDEX('Inventory - P02'!$J$16:$J$27,(INT((X44-1)/4)+1)))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19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P02'!$D$16:$D$27,(INT((X45-1)/4)+1)))</f>
        <v/>
      </c>
      <c r="F45" s="19" t="str">
        <f t="array" ref="F45">IF(X45="","",INDEX('Inventory - P02'!$E$16:$E$27,(INT((X45-1)/4)+1)))</f>
        <v/>
      </c>
      <c r="G45" s="19" t="str">
        <f t="array" ref="G45">IF(X45="","",INDEX('Inventory - P02'!$I$16:$I$27,(INT((X45-1)/4)+1)))</f>
        <v/>
      </c>
      <c r="H45" s="19" t="str">
        <f t="array" ref="H45">IF(X45="","",INDEX('Inventory - P02'!$J$16:$J$27,(INT((X45-1)/4)+1)))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19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P02'!$D$16:$D$27,(INT((X46-1)/4)+1)))</f>
        <v/>
      </c>
      <c r="F46" s="19" t="str">
        <f t="array" ref="F46">IF(X46="","",INDEX('Inventory - P02'!$E$16:$E$27,(INT((X46-1)/4)+1)))</f>
        <v/>
      </c>
      <c r="G46" s="19" t="str">
        <f t="array" ref="G46">IF(X46="","",INDEX('Inventory - P02'!$I$16:$I$27,(INT((X46-1)/4)+1)))</f>
        <v/>
      </c>
      <c r="H46" s="19" t="str">
        <f t="array" ref="H46">IF(X46="","",INDEX('Inventory - P02'!$J$16:$J$27,(INT((X46-1)/4)+1)))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19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P02'!$D$16:$D$27,(INT((X47-1)/4)+1)))</f>
        <v/>
      </c>
      <c r="F47" s="19" t="str">
        <f t="array" ref="F47">IF(X47="","",INDEX('Inventory - P02'!$E$16:$E$27,(INT((X47-1)/4)+1)))</f>
        <v/>
      </c>
      <c r="G47" s="19" t="str">
        <f t="array" ref="G47">IF(X47="","",INDEX('Inventory - P02'!$I$16:$I$27,(INT((X47-1)/4)+1)))</f>
        <v/>
      </c>
      <c r="H47" s="19" t="str">
        <f t="array" ref="H47">IF(X47="","",INDEX('Inventory - P02'!$J$16:$J$27,(INT((X47-1)/4)+1)))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19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P02'!$D$16:$D$27,(INT((X48-1)/4)+1)))</f>
        <v/>
      </c>
      <c r="F48" s="19" t="str">
        <f t="array" ref="F48">IF(X48="","",INDEX('Inventory - P02'!$E$16:$E$27,(INT((X48-1)/4)+1)))</f>
        <v/>
      </c>
      <c r="G48" s="19" t="str">
        <f t="array" ref="G48">IF(X48="","",INDEX('Inventory - P02'!$I$16:$I$27,(INT((X48-1)/4)+1)))</f>
        <v/>
      </c>
      <c r="H48" s="19" t="str">
        <f t="array" ref="H48">IF(X48="","",INDEX('Inventory - P02'!$J$16:$J$27,(INT((X48-1)/4)+1)))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>8:00 PM</v>
      </c>
      <c r="B50" s="19">
        <f t="shared" ref="B50:B61" si="11">IF(X50="","",(INT((X50-1)/4)+1))</f>
        <v>1</v>
      </c>
      <c r="C50" s="46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19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19" t="str">
        <f t="array" ref="E50">IF(X50="","",INDEX('Inventory - P02'!$D$16:$D$27,(INT((X50-1)/4)+1)))</f>
        <v>PO</v>
      </c>
      <c r="F50" s="19">
        <f t="array" ref="F50">IF(X50="","",INDEX('Inventory - P02'!$E$16:$E$27,(INT((X50-1)/4)+1)))</f>
        <v>2</v>
      </c>
      <c r="G50" s="19" t="str">
        <f t="array" ref="G50">IF(X50="","",INDEX('Inventory - P02'!$I$16:$I$27,(INT((X50-1)/4)+1)))</f>
        <v>Y</v>
      </c>
      <c r="H50" s="19" t="str">
        <f t="array" ref="H50">IF(X50="","",INDEX('Inventory - P02'!$J$16:$J$27,(INT((X50-1)/4)+1)))</f>
        <v>Psychological</v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0.8333333343</v>
      </c>
      <c r="X50" s="3">
        <f t="shared" ref="X50:X61" si="12">IF(W50&lt;9,MATCH(W50,$AC$67:$AC$114,0),"")</f>
        <v>2</v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19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P02'!$D$16:$D$27,(INT((X51-1)/4)+1)))</f>
        <v/>
      </c>
      <c r="F51" s="19" t="str">
        <f t="array" ref="F51">IF(X51="","",INDEX('Inventory - P02'!$E$16:$E$27,(INT((X51-1)/4)+1)))</f>
        <v/>
      </c>
      <c r="G51" s="19" t="str">
        <f t="array" ref="G51">IF(X51="","",INDEX('Inventory - P02'!$I$16:$I$27,(INT((X51-1)/4)+1)))</f>
        <v/>
      </c>
      <c r="H51" s="19" t="str">
        <f t="array" ref="H51">IF(X51="","",INDEX('Inventory - P02'!$J$16:$J$27,(INT((X51-1)/4)+1)))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19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P02'!$D$16:$D$27,(INT((X52-1)/4)+1)))</f>
        <v/>
      </c>
      <c r="F52" s="19" t="str">
        <f t="array" ref="F52">IF(X52="","",INDEX('Inventory - P02'!$E$16:$E$27,(INT((X52-1)/4)+1)))</f>
        <v/>
      </c>
      <c r="G52" s="19" t="str">
        <f t="array" ref="G52">IF(X52="","",INDEX('Inventory - P02'!$I$16:$I$27,(INT((X52-1)/4)+1)))</f>
        <v/>
      </c>
      <c r="H52" s="19" t="str">
        <f t="array" ref="H52">IF(X52="","",INDEX('Inventory - P02'!$J$16:$J$27,(INT((X52-1)/4)+1)))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19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P02'!$D$16:$D$27,(INT((X53-1)/4)+1)))</f>
        <v/>
      </c>
      <c r="F53" s="19" t="str">
        <f t="array" ref="F53">IF(X53="","",INDEX('Inventory - P02'!$E$16:$E$27,(INT((X53-1)/4)+1)))</f>
        <v/>
      </c>
      <c r="G53" s="19" t="str">
        <f t="array" ref="G53">IF(X53="","",INDEX('Inventory - P02'!$I$16:$I$27,(INT((X53-1)/4)+1)))</f>
        <v/>
      </c>
      <c r="H53" s="19" t="str">
        <f t="array" ref="H53">IF(X53="","",INDEX('Inventory - P02'!$J$16:$J$27,(INT((X53-1)/4)+1)))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19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P02'!$D$16:$D$27,(INT((X54-1)/4)+1)))</f>
        <v/>
      </c>
      <c r="F54" s="19" t="str">
        <f t="array" ref="F54">IF(X54="","",INDEX('Inventory - P02'!$E$16:$E$27,(INT((X54-1)/4)+1)))</f>
        <v/>
      </c>
      <c r="G54" s="19" t="str">
        <f t="array" ref="G54">IF(X54="","",INDEX('Inventory - P02'!$I$16:$I$27,(INT((X54-1)/4)+1)))</f>
        <v/>
      </c>
      <c r="H54" s="19" t="str">
        <f t="array" ref="H54">IF(X54="","",INDEX('Inventory - P02'!$J$16:$J$27,(INT((X54-1)/4)+1)))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19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P02'!$D$16:$D$27,(INT((X55-1)/4)+1)))</f>
        <v/>
      </c>
      <c r="F55" s="19" t="str">
        <f t="array" ref="F55">IF(X55="","",INDEX('Inventory - P02'!$E$16:$E$27,(INT((X55-1)/4)+1)))</f>
        <v/>
      </c>
      <c r="G55" s="19" t="str">
        <f t="array" ref="G55">IF(X55="","",INDEX('Inventory - P02'!$I$16:$I$27,(INT((X55-1)/4)+1)))</f>
        <v/>
      </c>
      <c r="H55" s="19" t="str">
        <f t="array" ref="H55">IF(X55="","",INDEX('Inventory - P02'!$J$16:$J$27,(INT((X55-1)/4)+1)))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19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P02'!$D$16:$D$27,(INT((X56-1)/4)+1)))</f>
        <v/>
      </c>
      <c r="F56" s="19" t="str">
        <f t="array" ref="F56">IF(X56="","",INDEX('Inventory - P02'!$E$16:$E$27,(INT((X56-1)/4)+1)))</f>
        <v/>
      </c>
      <c r="G56" s="19" t="str">
        <f t="array" ref="G56">IF(X56="","",INDEX('Inventory - P02'!$I$16:$I$27,(INT((X56-1)/4)+1)))</f>
        <v/>
      </c>
      <c r="H56" s="19" t="str">
        <f t="array" ref="H56">IF(X56="","",INDEX('Inventory - P02'!$J$16:$J$27,(INT((X56-1)/4)+1)))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19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P02'!$D$16:$D$27,(INT((X57-1)/4)+1)))</f>
        <v/>
      </c>
      <c r="F57" s="19" t="str">
        <f t="array" ref="F57">IF(X57="","",INDEX('Inventory - P02'!$E$16:$E$27,(INT((X57-1)/4)+1)))</f>
        <v/>
      </c>
      <c r="G57" s="19" t="str">
        <f t="array" ref="G57">IF(X57="","",INDEX('Inventory - P02'!$I$16:$I$27,(INT((X57-1)/4)+1)))</f>
        <v/>
      </c>
      <c r="H57" s="19" t="str">
        <f t="array" ref="H57">IF(X57="","",INDEX('Inventory - P02'!$J$16:$J$27,(INT((X57-1)/4)+1)))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19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P02'!$D$16:$D$27,(INT((X58-1)/4)+1)))</f>
        <v/>
      </c>
      <c r="F58" s="19" t="str">
        <f t="array" ref="F58">IF(X58="","",INDEX('Inventory - P02'!$E$16:$E$27,(INT((X58-1)/4)+1)))</f>
        <v/>
      </c>
      <c r="G58" s="19" t="str">
        <f t="array" ref="G58">IF(X58="","",INDEX('Inventory - P02'!$I$16:$I$27,(INT((X58-1)/4)+1)))</f>
        <v/>
      </c>
      <c r="H58" s="19" t="str">
        <f t="array" ref="H58">IF(X58="","",INDEX('Inventory - P02'!$J$16:$J$27,(INT((X58-1)/4)+1)))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19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P02'!$D$16:$D$27,(INT((X59-1)/4)+1)))</f>
        <v/>
      </c>
      <c r="F59" s="19" t="str">
        <f t="array" ref="F59">IF(X59="","",INDEX('Inventory - P02'!$E$16:$E$27,(INT((X59-1)/4)+1)))</f>
        <v/>
      </c>
      <c r="G59" s="19" t="str">
        <f t="array" ref="G59">IF(X59="","",INDEX('Inventory - P02'!$I$16:$I$27,(INT((X59-1)/4)+1)))</f>
        <v/>
      </c>
      <c r="H59" s="19" t="str">
        <f t="array" ref="H59">IF(X59="","",INDEX('Inventory - P02'!$J$16:$J$27,(INT((X59-1)/4)+1)))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19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P02'!$D$16:$D$27,(INT((X60-1)/4)+1)))</f>
        <v/>
      </c>
      <c r="F60" s="19" t="str">
        <f t="array" ref="F60">IF(X60="","",INDEX('Inventory - P02'!$E$16:$E$27,(INT((X60-1)/4)+1)))</f>
        <v/>
      </c>
      <c r="G60" s="19" t="str">
        <f t="array" ref="G60">IF(X60="","",INDEX('Inventory - P02'!$I$16:$I$27,(INT((X60-1)/4)+1)))</f>
        <v/>
      </c>
      <c r="H60" s="19" t="str">
        <f t="array" ref="H60">IF(X60="","",INDEX('Inventory - P02'!$J$16:$J$27,(INT((X60-1)/4)+1)))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19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P02'!$D$16:$D$27,(INT((X61-1)/4)+1)))</f>
        <v/>
      </c>
      <c r="F61" s="19" t="str">
        <f t="array" ref="F61">IF(X61="","",INDEX('Inventory - P02'!$E$16:$E$27,(INT((X61-1)/4)+1)))</f>
        <v/>
      </c>
      <c r="G61" s="19" t="str">
        <f t="array" ref="G61">IF(X61="","",INDEX('Inventory - P02'!$I$16:$I$27,(INT((X61-1)/4)+1)))</f>
        <v/>
      </c>
      <c r="H61" s="19" t="str">
        <f t="array" ref="H61">IF(X61="","",INDEX('Inventory - P02'!$J$16:$J$27,(INT((X61-1)/4)+1)))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148">
        <f>IF(OR('Inventory - P02'!E16&lt;1,'Inventory - P02'!F16="",'Inventory - P02'!G16=""),9,MOD('Inventory - P02'!F16+0*'Inventory - P02'!G16/24,1))</f>
        <v>0.3333333333</v>
      </c>
      <c r="Z67" s="148">
        <f>IF(Y67=9,9,IF(AND(Y67&gt;=6/24,Y67&lt;12/24),Y67+0*0.000000001,9))</f>
        <v>0.3333333333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148">
        <f>IF(OR('Inventory - P02'!E16&lt;2,'Inventory - P02'!F16="",'Inventory - P02'!G16=""),9,MOD('Inventory - P02'!F16+1*'Inventory - P02'!G16/24,1))</f>
        <v>0.8333333333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148">
        <f>IF(Y68=9,9,IF(OR(Y68&gt;=20/24,Y68&lt;6/24),Y68+1*0.000000001,9))</f>
        <v>0.8333333343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P02'!E16&lt;3,'Inventory - P02'!F16="",'Inventory - P02'!G16=""),9,MOD('Inventory - P02'!F16+2*'Inventory - P02'!G16/24,1))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P02'!E16&lt;4,'Inventory - P02'!F16="",'Inventory - P02'!G16=""),9,MOD('Inventory - P02'!F16+3*'Inventory - P02'!G16/24,1))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P02'!E17&lt;1,'Inventory - P02'!F17="",'Inventory - P02'!G17=""),9,MOD('Inventory - P02'!F17+0*'Inventory - P02'!G17/24,1))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P02'!E17&lt;2,'Inventory - P02'!F17="",'Inventory - P02'!G17=""),9,MOD('Inventory - P02'!F17+1*'Inventory - P02'!G17/24,1))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P02'!E17&lt;3,'Inventory - P02'!F17="",'Inventory - P02'!G17=""),9,MOD('Inventory - P02'!F17+2*'Inventory - P02'!G17/24,1))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P02'!E17&lt;4,'Inventory - P02'!F17="",'Inventory - P02'!G17=""),9,MOD('Inventory - P02'!F17+3*'Inventory - P02'!G17/24,1))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P02'!E18&lt;1,'Inventory - P02'!F18="",'Inventory - P02'!G18=""),9,MOD('Inventory - P02'!F18+0*'Inventory - P02'!G18/24,1))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P02'!E18&lt;2,'Inventory - P02'!F18="",'Inventory - P02'!G18=""),9,MOD('Inventory - P02'!F18+1*'Inventory - P02'!G18/24,1))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P02'!E18&lt;3,'Inventory - P02'!F18="",'Inventory - P02'!G18=""),9,MOD('Inventory - P02'!F18+2*'Inventory - P02'!G18/24,1))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P02'!E18&lt;4,'Inventory - P02'!F18="",'Inventory - P02'!G18=""),9,MOD('Inventory - P02'!F18+3*'Inventory - P02'!G18/24,1))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P02'!E19&lt;1,'Inventory - P02'!F19="",'Inventory - P02'!G19=""),9,MOD('Inventory - P02'!F19+0*'Inventory - P02'!G19/24,1))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P02'!E19&lt;2,'Inventory - P02'!F19="",'Inventory - P02'!G19=""),9,MOD('Inventory - P02'!F19+1*'Inventory - P02'!G19/24,1))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P02'!E19&lt;3,'Inventory - P02'!F19="",'Inventory - P02'!G19=""),9,MOD('Inventory - P02'!F19+2*'Inventory - P02'!G19/24,1))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P02'!E19&lt;4,'Inventory - P02'!F19="",'Inventory - P02'!G19=""),9,MOD('Inventory - P02'!F19+3*'Inventory - P02'!G19/24,1))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P02'!E20&lt;1,'Inventory - P02'!F20="",'Inventory - P02'!G20=""),9,MOD('Inventory - P02'!F20+0*'Inventory - P02'!G20/24,1))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P02'!E20&lt;2,'Inventory - P02'!F20="",'Inventory - P02'!G20=""),9,MOD('Inventory - P02'!F20+1*'Inventory - P02'!G20/24,1))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P02'!E20&lt;3,'Inventory - P02'!F20="",'Inventory - P02'!G20=""),9,MOD('Inventory - P02'!F20+2*'Inventory - P02'!G20/24,1))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P02'!E20&lt;4,'Inventory - P02'!F20="",'Inventory - P02'!G20=""),9,MOD('Inventory - P02'!F20+3*'Inventory - P02'!G20/24,1))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P02'!E21&lt;1,'Inventory - P02'!F21="",'Inventory - P02'!G21=""),9,MOD('Inventory - P02'!F21+0*'Inventory - P02'!G21/24,1))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P02'!E21&lt;2,'Inventory - P02'!F21="",'Inventory - P02'!G21=""),9,MOD('Inventory - P02'!F21+1*'Inventory - P02'!G21/24,1))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P02'!E21&lt;3,'Inventory - P02'!F21="",'Inventory - P02'!G21=""),9,MOD('Inventory - P02'!F21+2*'Inventory - P02'!G21/24,1))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P02'!E21&lt;4,'Inventory - P02'!F21="",'Inventory - P02'!G21=""),9,MOD('Inventory - P02'!F21+3*'Inventory - P02'!G21/24,1))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P02'!E22&lt;1,'Inventory - P02'!F22="",'Inventory - P02'!G22=""),9,MOD('Inventory - P02'!F22+0*'Inventory - P02'!G22/24,1))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P02'!E22&lt;2,'Inventory - P02'!F22="",'Inventory - P02'!G22=""),9,MOD('Inventory - P02'!F22+1*'Inventory - P02'!G22/24,1))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P02'!E22&lt;3,'Inventory - P02'!F22="",'Inventory - P02'!G22=""),9,MOD('Inventory - P02'!F22+2*'Inventory - P02'!G22/24,1))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P02'!E22&lt;4,'Inventory - P02'!F22="",'Inventory - P02'!G22=""),9,MOD('Inventory - P02'!F22+3*'Inventory - P02'!G22/24,1))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P02'!E23&lt;1,'Inventory - P02'!F23="",'Inventory - P02'!G23=""),9,MOD('Inventory - P02'!F23+0*'Inventory - P02'!G23/24,1))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P02'!E23&lt;2,'Inventory - P02'!F23="",'Inventory - P02'!G23=""),9,MOD('Inventory - P02'!F23+1*'Inventory - P02'!G23/24,1))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P02'!E23&lt;3,'Inventory - P02'!F23="",'Inventory - P02'!G23=""),9,MOD('Inventory - P02'!F23+2*'Inventory - P02'!G23/24,1))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P02'!E23&lt;4,'Inventory - P02'!F23="",'Inventory - P02'!G23=""),9,MOD('Inventory - P02'!F23+3*'Inventory - P02'!G23/24,1))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P02'!E24&lt;1,'Inventory - P02'!F24="",'Inventory - P02'!G24=""),9,MOD('Inventory - P02'!F24+0*'Inventory - P02'!G24/24,1))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P02'!E24&lt;2,'Inventory - P02'!F24="",'Inventory - P02'!G24=""),9,MOD('Inventory - P02'!F24+1*'Inventory - P02'!G24/24,1))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P02'!E24&lt;3,'Inventory - P02'!F24="",'Inventory - P02'!G24=""),9,MOD('Inventory - P02'!F24+2*'Inventory - P02'!G24/24,1))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P02'!E24&lt;4,'Inventory - P02'!F24="",'Inventory - P02'!G24=""),9,MOD('Inventory - P02'!F24+3*'Inventory - P02'!G24/24,1))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P02'!E25&lt;1,'Inventory - P02'!F25="",'Inventory - P02'!G25=""),9,MOD('Inventory - P02'!F25+0*'Inventory - P02'!G25/24,1))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P02'!E25&lt;2,'Inventory - P02'!F25="",'Inventory - P02'!G25=""),9,MOD('Inventory - P02'!F25+1*'Inventory - P02'!G25/24,1))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P02'!E25&lt;3,'Inventory - P02'!F25="",'Inventory - P02'!G25=""),9,MOD('Inventory - P02'!F25+2*'Inventory - P02'!G25/24,1))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P02'!E25&lt;4,'Inventory - P02'!F25="",'Inventory - P02'!G25=""),9,MOD('Inventory - P02'!F25+3*'Inventory - P02'!G25/24,1))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P02'!E26&lt;1,'Inventory - P02'!F26="",'Inventory - P02'!G26=""),9,MOD('Inventory - P02'!F26+0*'Inventory - P02'!G26/24,1))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P02'!E26&lt;2,'Inventory - P02'!F26="",'Inventory - P02'!G26=""),9,MOD('Inventory - P02'!F26+1*'Inventory - P02'!G26/24,1))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P02'!E26&lt;3,'Inventory - P02'!F26="",'Inventory - P02'!G26=""),9,MOD('Inventory - P02'!F26+2*'Inventory - P02'!G26/24,1))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P02'!E26&lt;4,'Inventory - P02'!F26="",'Inventory - P02'!G26=""),9,MOD('Inventory - P02'!F26+3*'Inventory - P02'!G26/24,1))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P02'!E27&lt;1,'Inventory - P02'!F27="",'Inventory - P02'!G27=""),9,MOD('Inventory - P02'!F27+0*'Inventory - P02'!G27/24,1))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P02'!E27&lt;2,'Inventory - P02'!F27="",'Inventory - P02'!G27=""),9,MOD('Inventory - P02'!F27+1*'Inventory - P02'!G27/24,1))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P02'!E27&lt;3,'Inventory - P02'!F27="",'Inventory - P02'!G27=""),9,MOD('Inventory - P02'!F27+2*'Inventory - P02'!G27/24,1))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P02'!E27&lt;4,'Inventory - P02'!F27="",'Inventory - P02'!G27=""),9,MOD('Inventory - P02'!F27+3*'Inventory - P02'!G27/24,1))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Tracker'!S7="","","INV-"&amp;SUBSTITUTE('Client Needs Tracker'!S7," ",""))</f>
        <v>INV-M-2A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Tracker'!B7="","(Add client on Client Needs Tracker, row 7)",'Client Needs Tracker'!B7)</f>
        <v>(Add client on Client Needs Tracker, row 7)</v>
      </c>
      <c r="B6" s="104"/>
      <c r="C6" s="104"/>
      <c r="D6" s="104"/>
      <c r="E6" s="104"/>
      <c r="F6" s="105" t="str">
        <f>'Client Needs Tracker'!A7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Tracker'!C7="","",'Client Needs Tracker'!C7)</f>
        <v/>
      </c>
      <c r="B8" s="104"/>
      <c r="C8" s="104"/>
      <c r="D8" s="104"/>
      <c r="E8" s="104"/>
      <c r="F8" s="108" t="str">
        <f>'Client Needs Tracker'!E7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Tracker'!F7="","",'Client Needs Tracker'!F7)</f>
        <v/>
      </c>
      <c r="B10" s="104"/>
      <c r="C10" s="104"/>
      <c r="D10" s="104"/>
      <c r="E10" s="104"/>
      <c r="F10" s="110" t="str">
        <f>IF('Client Status Board'!G7="","",'Client Status Board'!G7)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Board'!L7="","",'Client Status Board'!L7)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35"/>
      <c r="C16" s="29"/>
      <c r="D16" s="29"/>
      <c r="E16" s="29"/>
      <c r="F16" s="118"/>
      <c r="G16" s="2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29"/>
      <c r="J16" s="29"/>
      <c r="K16" s="29"/>
      <c r="L16" s="12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howErrorMessage="1" sqref="C16">
      <formula1>"50,100,150,300"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7:C27">
      <formula1>INDIRECT("MG_"&amp;SUBSTITUTE(SUBSTITUTE(SUBSTITUTE(SUBSTITUTE(LEFT($B17,IFERROR(FIND(" (",$B17)-1,LEN($B17))),"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ht="15.0" customHeight="1">
      <c r="A3" s="130" t="str">
        <f>IF('Inventory - P03'!A6="","(Enter name in Inventory - P03)",'Inventory - P03'!A6)</f>
        <v>(Add client on Client Needs Tracker, row 7)</v>
      </c>
      <c r="B3" s="131"/>
      <c r="C3" s="131"/>
      <c r="D3" s="131"/>
      <c r="E3" s="131"/>
      <c r="F3" s="132" t="str">
        <f>IF('Inventory - P03'!F6="","(Enter ID in Inventory - P03)","Member ID: "&amp;'Inventory - P03'!F6)</f>
        <v>(Enter ID in Inventory - P03)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Tracker'!S7="","","INV-"&amp;SUBSTITUTE('Client Needs Tracker'!S7," ",""))</f>
        <v>INV-M-2A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P03'!F8="","-",'Inventory - P03'!F8)</f>
        <v>LOC: -</v>
      </c>
      <c r="C5" s="3"/>
      <c r="D5" s="134" t="str">
        <f>"Case Manager: "&amp;IF('Inventory - P03'!A10="","-",'Inventory - P03'!A10)</f>
        <v>Case Manager: -</v>
      </c>
      <c r="F5" s="3"/>
      <c r="G5" s="134" t="str">
        <f>"Doctor: "&amp;IF('Inventory - P03'!F10="","-",'Inventory - P03'!F10)</f>
        <v>Doctor: -</v>
      </c>
      <c r="I5" s="3"/>
      <c r="J5" s="134" t="str">
        <f>"Pharmacy: "&amp;IF('Inventory - P03'!A12="","-",'Inventory - P03'!A12)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P03'!A14="","",'Inventory - P03'!A14)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P03'!A14="","",'Inventory - P03'!A14+0)</f>
        <v/>
      </c>
      <c r="J8" s="139"/>
      <c r="K8" s="138" t="str">
        <f>IF('Inventory - P03'!A14="","",'Inventory - P03'!A14+1)</f>
        <v/>
      </c>
      <c r="L8" s="139"/>
      <c r="M8" s="138" t="str">
        <f>IF('Inventory - P03'!A14="","",'Inventory - P03'!A14+2)</f>
        <v/>
      </c>
      <c r="N8" s="139"/>
      <c r="O8" s="138" t="str">
        <f>IF('Inventory - P03'!A14="","",'Inventory - P03'!A14+3)</f>
        <v/>
      </c>
      <c r="P8" s="139"/>
      <c r="Q8" s="138" t="str">
        <f>IF('Inventory - P03'!A14="","",'Inventory - P03'!A14+4)</f>
        <v/>
      </c>
      <c r="R8" s="139"/>
      <c r="S8" s="138" t="str">
        <f>IF('Inventory - P03'!A14="","",'Inventory - P03'!A14+5)</f>
        <v/>
      </c>
      <c r="T8" s="139"/>
      <c r="U8" s="138" t="str">
        <f>IF('Inventory - P03'!A14="","",'Inventory - P03'!A14+6)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19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P03'!$D$16:$D$27,(INT((X11-1)/4)+1)))</f>
        <v/>
      </c>
      <c r="F11" s="19" t="str">
        <f t="array" ref="F11">IF(X11="","",INDEX('Inventory - P03'!$E$16:$E$27,(INT((X11-1)/4)+1)))</f>
        <v/>
      </c>
      <c r="G11" s="19" t="str">
        <f t="array" ref="G11">IF(X11="","",INDEX('Inventory - P03'!$I$16:$I$27,(INT((X11-1)/4)+1)))</f>
        <v/>
      </c>
      <c r="H11" s="19" t="str">
        <f t="array" ref="H11">IF(X11="","",INDEX('Inventory - P03'!$J$16:$J$27,(INT((X11-1)/4)+1)))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19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P03'!$D$16:$D$27,(INT((X12-1)/4)+1)))</f>
        <v/>
      </c>
      <c r="F12" s="19" t="str">
        <f t="array" ref="F12">IF(X12="","",INDEX('Inventory - P03'!$E$16:$E$27,(INT((X12-1)/4)+1)))</f>
        <v/>
      </c>
      <c r="G12" s="19" t="str">
        <f t="array" ref="G12">IF(X12="","",INDEX('Inventory - P03'!$I$16:$I$27,(INT((X12-1)/4)+1)))</f>
        <v/>
      </c>
      <c r="H12" s="19" t="str">
        <f t="array" ref="H12">IF(X12="","",INDEX('Inventory - P03'!$J$16:$J$27,(INT((X12-1)/4)+1)))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19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P03'!$D$16:$D$27,(INT((X13-1)/4)+1)))</f>
        <v/>
      </c>
      <c r="F13" s="19" t="str">
        <f t="array" ref="F13">IF(X13="","",INDEX('Inventory - P03'!$E$16:$E$27,(INT((X13-1)/4)+1)))</f>
        <v/>
      </c>
      <c r="G13" s="19" t="str">
        <f t="array" ref="G13">IF(X13="","",INDEX('Inventory - P03'!$I$16:$I$27,(INT((X13-1)/4)+1)))</f>
        <v/>
      </c>
      <c r="H13" s="19" t="str">
        <f t="array" ref="H13">IF(X13="","",INDEX('Inventory - P03'!$J$16:$J$27,(INT((X13-1)/4)+1)))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19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P03'!$D$16:$D$27,(INT((X14-1)/4)+1)))</f>
        <v/>
      </c>
      <c r="F14" s="19" t="str">
        <f t="array" ref="F14">IF(X14="","",INDEX('Inventory - P03'!$E$16:$E$27,(INT((X14-1)/4)+1)))</f>
        <v/>
      </c>
      <c r="G14" s="19" t="str">
        <f t="array" ref="G14">IF(X14="","",INDEX('Inventory - P03'!$I$16:$I$27,(INT((X14-1)/4)+1)))</f>
        <v/>
      </c>
      <c r="H14" s="19" t="str">
        <f t="array" ref="H14">IF(X14="","",INDEX('Inventory - P03'!$J$16:$J$27,(INT((X14-1)/4)+1)))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19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P03'!$D$16:$D$27,(INT((X15-1)/4)+1)))</f>
        <v/>
      </c>
      <c r="F15" s="19" t="str">
        <f t="array" ref="F15">IF(X15="","",INDEX('Inventory - P03'!$E$16:$E$27,(INT((X15-1)/4)+1)))</f>
        <v/>
      </c>
      <c r="G15" s="19" t="str">
        <f t="array" ref="G15">IF(X15="","",INDEX('Inventory - P03'!$I$16:$I$27,(INT((X15-1)/4)+1)))</f>
        <v/>
      </c>
      <c r="H15" s="19" t="str">
        <f t="array" ref="H15">IF(X15="","",INDEX('Inventory - P03'!$J$16:$J$27,(INT((X15-1)/4)+1)))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19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P03'!$D$16:$D$27,(INT((X16-1)/4)+1)))</f>
        <v/>
      </c>
      <c r="F16" s="19" t="str">
        <f t="array" ref="F16">IF(X16="","",INDEX('Inventory - P03'!$E$16:$E$27,(INT((X16-1)/4)+1)))</f>
        <v/>
      </c>
      <c r="G16" s="19" t="str">
        <f t="array" ref="G16">IF(X16="","",INDEX('Inventory - P03'!$I$16:$I$27,(INT((X16-1)/4)+1)))</f>
        <v/>
      </c>
      <c r="H16" s="19" t="str">
        <f t="array" ref="H16">IF(X16="","",INDEX('Inventory - P03'!$J$16:$J$27,(INT((X16-1)/4)+1)))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19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P03'!$D$16:$D$27,(INT((X17-1)/4)+1)))</f>
        <v/>
      </c>
      <c r="F17" s="19" t="str">
        <f t="array" ref="F17">IF(X17="","",INDEX('Inventory - P03'!$E$16:$E$27,(INT((X17-1)/4)+1)))</f>
        <v/>
      </c>
      <c r="G17" s="19" t="str">
        <f t="array" ref="G17">IF(X17="","",INDEX('Inventory - P03'!$I$16:$I$27,(INT((X17-1)/4)+1)))</f>
        <v/>
      </c>
      <c r="H17" s="19" t="str">
        <f t="array" ref="H17">IF(X17="","",INDEX('Inventory - P03'!$J$16:$J$27,(INT((X17-1)/4)+1)))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19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P03'!$D$16:$D$27,(INT((X18-1)/4)+1)))</f>
        <v/>
      </c>
      <c r="F18" s="19" t="str">
        <f t="array" ref="F18">IF(X18="","",INDEX('Inventory - P03'!$E$16:$E$27,(INT((X18-1)/4)+1)))</f>
        <v/>
      </c>
      <c r="G18" s="19" t="str">
        <f t="array" ref="G18">IF(X18="","",INDEX('Inventory - P03'!$I$16:$I$27,(INT((X18-1)/4)+1)))</f>
        <v/>
      </c>
      <c r="H18" s="19" t="str">
        <f t="array" ref="H18">IF(X18="","",INDEX('Inventory - P03'!$J$16:$J$27,(INT((X18-1)/4)+1)))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19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P03'!$D$16:$D$27,(INT((X19-1)/4)+1)))</f>
        <v/>
      </c>
      <c r="F19" s="19" t="str">
        <f t="array" ref="F19">IF(X19="","",INDEX('Inventory - P03'!$E$16:$E$27,(INT((X19-1)/4)+1)))</f>
        <v/>
      </c>
      <c r="G19" s="19" t="str">
        <f t="array" ref="G19">IF(X19="","",INDEX('Inventory - P03'!$I$16:$I$27,(INT((X19-1)/4)+1)))</f>
        <v/>
      </c>
      <c r="H19" s="19" t="str">
        <f t="array" ref="H19">IF(X19="","",INDEX('Inventory - P03'!$J$16:$J$27,(INT((X19-1)/4)+1)))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19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P03'!$D$16:$D$27,(INT((X20-1)/4)+1)))</f>
        <v/>
      </c>
      <c r="F20" s="19" t="str">
        <f t="array" ref="F20">IF(X20="","",INDEX('Inventory - P03'!$E$16:$E$27,(INT((X20-1)/4)+1)))</f>
        <v/>
      </c>
      <c r="G20" s="19" t="str">
        <f t="array" ref="G20">IF(X20="","",INDEX('Inventory - P03'!$I$16:$I$27,(INT((X20-1)/4)+1)))</f>
        <v/>
      </c>
      <c r="H20" s="19" t="str">
        <f t="array" ref="H20">IF(X20="","",INDEX('Inventory - P03'!$J$16:$J$27,(INT((X20-1)/4)+1)))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19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P03'!$D$16:$D$27,(INT((X21-1)/4)+1)))</f>
        <v/>
      </c>
      <c r="F21" s="19" t="str">
        <f t="array" ref="F21">IF(X21="","",INDEX('Inventory - P03'!$E$16:$E$27,(INT((X21-1)/4)+1)))</f>
        <v/>
      </c>
      <c r="G21" s="19" t="str">
        <f t="array" ref="G21">IF(X21="","",INDEX('Inventory - P03'!$I$16:$I$27,(INT((X21-1)/4)+1)))</f>
        <v/>
      </c>
      <c r="H21" s="19" t="str">
        <f t="array" ref="H21">IF(X21="","",INDEX('Inventory - P03'!$J$16:$J$27,(INT((X21-1)/4)+1)))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19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P03'!$D$16:$D$27,(INT((X22-1)/4)+1)))</f>
        <v/>
      </c>
      <c r="F22" s="19" t="str">
        <f t="array" ref="F22">IF(X22="","",INDEX('Inventory - P03'!$E$16:$E$27,(INT((X22-1)/4)+1)))</f>
        <v/>
      </c>
      <c r="G22" s="19" t="str">
        <f t="array" ref="G22">IF(X22="","",INDEX('Inventory - P03'!$I$16:$I$27,(INT((X22-1)/4)+1)))</f>
        <v/>
      </c>
      <c r="H22" s="19" t="str">
        <f t="array" ref="H22">IF(X22="","",INDEX('Inventory - P03'!$J$16:$J$27,(INT((X22-1)/4)+1)))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19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P03'!$D$16:$D$27,(INT((X24-1)/4)+1)))</f>
        <v/>
      </c>
      <c r="F24" s="19" t="str">
        <f t="array" ref="F24">IF(X24="","",INDEX('Inventory - P03'!$E$16:$E$27,(INT((X24-1)/4)+1)))</f>
        <v/>
      </c>
      <c r="G24" s="19" t="str">
        <f t="array" ref="G24">IF(X24="","",INDEX('Inventory - P03'!$I$16:$I$27,(INT((X24-1)/4)+1)))</f>
        <v/>
      </c>
      <c r="H24" s="19" t="str">
        <f t="array" ref="H24">IF(X24="","",INDEX('Inventory - P03'!$J$16:$J$27,(INT((X24-1)/4)+1)))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19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P03'!$D$16:$D$27,(INT((X25-1)/4)+1)))</f>
        <v/>
      </c>
      <c r="F25" s="19" t="str">
        <f t="array" ref="F25">IF(X25="","",INDEX('Inventory - P03'!$E$16:$E$27,(INT((X25-1)/4)+1)))</f>
        <v/>
      </c>
      <c r="G25" s="19" t="str">
        <f t="array" ref="G25">IF(X25="","",INDEX('Inventory - P03'!$I$16:$I$27,(INT((X25-1)/4)+1)))</f>
        <v/>
      </c>
      <c r="H25" s="19" t="str">
        <f t="array" ref="H25">IF(X25="","",INDEX('Inventory - P03'!$J$16:$J$27,(INT((X25-1)/4)+1)))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19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P03'!$D$16:$D$27,(INT((X26-1)/4)+1)))</f>
        <v/>
      </c>
      <c r="F26" s="19" t="str">
        <f t="array" ref="F26">IF(X26="","",INDEX('Inventory - P03'!$E$16:$E$27,(INT((X26-1)/4)+1)))</f>
        <v/>
      </c>
      <c r="G26" s="19" t="str">
        <f t="array" ref="G26">IF(X26="","",INDEX('Inventory - P03'!$I$16:$I$27,(INT((X26-1)/4)+1)))</f>
        <v/>
      </c>
      <c r="H26" s="19" t="str">
        <f t="array" ref="H26">IF(X26="","",INDEX('Inventory - P03'!$J$16:$J$27,(INT((X26-1)/4)+1)))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19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P03'!$D$16:$D$27,(INT((X27-1)/4)+1)))</f>
        <v/>
      </c>
      <c r="F27" s="19" t="str">
        <f t="array" ref="F27">IF(X27="","",INDEX('Inventory - P03'!$E$16:$E$27,(INT((X27-1)/4)+1)))</f>
        <v/>
      </c>
      <c r="G27" s="19" t="str">
        <f t="array" ref="G27">IF(X27="","",INDEX('Inventory - P03'!$I$16:$I$27,(INT((X27-1)/4)+1)))</f>
        <v/>
      </c>
      <c r="H27" s="19" t="str">
        <f t="array" ref="H27">IF(X27="","",INDEX('Inventory - P03'!$J$16:$J$27,(INT((X27-1)/4)+1)))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19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P03'!$D$16:$D$27,(INT((X28-1)/4)+1)))</f>
        <v/>
      </c>
      <c r="F28" s="19" t="str">
        <f t="array" ref="F28">IF(X28="","",INDEX('Inventory - P03'!$E$16:$E$27,(INT((X28-1)/4)+1)))</f>
        <v/>
      </c>
      <c r="G28" s="19" t="str">
        <f t="array" ref="G28">IF(X28="","",INDEX('Inventory - P03'!$I$16:$I$27,(INT((X28-1)/4)+1)))</f>
        <v/>
      </c>
      <c r="H28" s="19" t="str">
        <f t="array" ref="H28">IF(X28="","",INDEX('Inventory - P03'!$J$16:$J$27,(INT((X28-1)/4)+1)))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19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P03'!$D$16:$D$27,(INT((X29-1)/4)+1)))</f>
        <v/>
      </c>
      <c r="F29" s="19" t="str">
        <f t="array" ref="F29">IF(X29="","",INDEX('Inventory - P03'!$E$16:$E$27,(INT((X29-1)/4)+1)))</f>
        <v/>
      </c>
      <c r="G29" s="19" t="str">
        <f t="array" ref="G29">IF(X29="","",INDEX('Inventory - P03'!$I$16:$I$27,(INT((X29-1)/4)+1)))</f>
        <v/>
      </c>
      <c r="H29" s="19" t="str">
        <f t="array" ref="H29">IF(X29="","",INDEX('Inventory - P03'!$J$16:$J$27,(INT((X29-1)/4)+1)))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19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P03'!$D$16:$D$27,(INT((X30-1)/4)+1)))</f>
        <v/>
      </c>
      <c r="F30" s="19" t="str">
        <f t="array" ref="F30">IF(X30="","",INDEX('Inventory - P03'!$E$16:$E$27,(INT((X30-1)/4)+1)))</f>
        <v/>
      </c>
      <c r="G30" s="19" t="str">
        <f t="array" ref="G30">IF(X30="","",INDEX('Inventory - P03'!$I$16:$I$27,(INT((X30-1)/4)+1)))</f>
        <v/>
      </c>
      <c r="H30" s="19" t="str">
        <f t="array" ref="H30">IF(X30="","",INDEX('Inventory - P03'!$J$16:$J$27,(INT((X30-1)/4)+1)))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19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P03'!$D$16:$D$27,(INT((X31-1)/4)+1)))</f>
        <v/>
      </c>
      <c r="F31" s="19" t="str">
        <f t="array" ref="F31">IF(X31="","",INDEX('Inventory - P03'!$E$16:$E$27,(INT((X31-1)/4)+1)))</f>
        <v/>
      </c>
      <c r="G31" s="19" t="str">
        <f t="array" ref="G31">IF(X31="","",INDEX('Inventory - P03'!$I$16:$I$27,(INT((X31-1)/4)+1)))</f>
        <v/>
      </c>
      <c r="H31" s="19" t="str">
        <f t="array" ref="H31">IF(X31="","",INDEX('Inventory - P03'!$J$16:$J$27,(INT((X31-1)/4)+1)))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19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P03'!$D$16:$D$27,(INT((X32-1)/4)+1)))</f>
        <v/>
      </c>
      <c r="F32" s="19" t="str">
        <f t="array" ref="F32">IF(X32="","",INDEX('Inventory - P03'!$E$16:$E$27,(INT((X32-1)/4)+1)))</f>
        <v/>
      </c>
      <c r="G32" s="19" t="str">
        <f t="array" ref="G32">IF(X32="","",INDEX('Inventory - P03'!$I$16:$I$27,(INT((X32-1)/4)+1)))</f>
        <v/>
      </c>
      <c r="H32" s="19" t="str">
        <f t="array" ref="H32">IF(X32="","",INDEX('Inventory - P03'!$J$16:$J$27,(INT((X32-1)/4)+1)))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19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P03'!$D$16:$D$27,(INT((X33-1)/4)+1)))</f>
        <v/>
      </c>
      <c r="F33" s="19" t="str">
        <f t="array" ref="F33">IF(X33="","",INDEX('Inventory - P03'!$E$16:$E$27,(INT((X33-1)/4)+1)))</f>
        <v/>
      </c>
      <c r="G33" s="19" t="str">
        <f t="array" ref="G33">IF(X33="","",INDEX('Inventory - P03'!$I$16:$I$27,(INT((X33-1)/4)+1)))</f>
        <v/>
      </c>
      <c r="H33" s="19" t="str">
        <f t="array" ref="H33">IF(X33="","",INDEX('Inventory - P03'!$J$16:$J$27,(INT((X33-1)/4)+1)))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19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P03'!$D$16:$D$27,(INT((X34-1)/4)+1)))</f>
        <v/>
      </c>
      <c r="F34" s="19" t="str">
        <f t="array" ref="F34">IF(X34="","",INDEX('Inventory - P03'!$E$16:$E$27,(INT((X34-1)/4)+1)))</f>
        <v/>
      </c>
      <c r="G34" s="19" t="str">
        <f t="array" ref="G34">IF(X34="","",INDEX('Inventory - P03'!$I$16:$I$27,(INT((X34-1)/4)+1)))</f>
        <v/>
      </c>
      <c r="H34" s="19" t="str">
        <f t="array" ref="H34">IF(X34="","",INDEX('Inventory - P03'!$J$16:$J$27,(INT((X34-1)/4)+1)))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19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P03'!$D$16:$D$27,(INT((X35-1)/4)+1)))</f>
        <v/>
      </c>
      <c r="F35" s="19" t="str">
        <f t="array" ref="F35">IF(X35="","",INDEX('Inventory - P03'!$E$16:$E$27,(INT((X35-1)/4)+1)))</f>
        <v/>
      </c>
      <c r="G35" s="19" t="str">
        <f t="array" ref="G35">IF(X35="","",INDEX('Inventory - P03'!$I$16:$I$27,(INT((X35-1)/4)+1)))</f>
        <v/>
      </c>
      <c r="H35" s="19" t="str">
        <f t="array" ref="H35">IF(X35="","",INDEX('Inventory - P03'!$J$16:$J$27,(INT((X35-1)/4)+1)))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19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P03'!$D$16:$D$27,(INT((X37-1)/4)+1)))</f>
        <v/>
      </c>
      <c r="F37" s="19" t="str">
        <f t="array" ref="F37">IF(X37="","",INDEX('Inventory - P03'!$E$16:$E$27,(INT((X37-1)/4)+1)))</f>
        <v/>
      </c>
      <c r="G37" s="19" t="str">
        <f t="array" ref="G37">IF(X37="","",INDEX('Inventory - P03'!$I$16:$I$27,(INT((X37-1)/4)+1)))</f>
        <v/>
      </c>
      <c r="H37" s="19" t="str">
        <f t="array" ref="H37">IF(X37="","",INDEX('Inventory - P03'!$J$16:$J$27,(INT((X37-1)/4)+1)))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19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P03'!$D$16:$D$27,(INT((X38-1)/4)+1)))</f>
        <v/>
      </c>
      <c r="F38" s="19" t="str">
        <f t="array" ref="F38">IF(X38="","",INDEX('Inventory - P03'!$E$16:$E$27,(INT((X38-1)/4)+1)))</f>
        <v/>
      </c>
      <c r="G38" s="19" t="str">
        <f t="array" ref="G38">IF(X38="","",INDEX('Inventory - P03'!$I$16:$I$27,(INT((X38-1)/4)+1)))</f>
        <v/>
      </c>
      <c r="H38" s="19" t="str">
        <f t="array" ref="H38">IF(X38="","",INDEX('Inventory - P03'!$J$16:$J$27,(INT((X38-1)/4)+1)))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19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P03'!$D$16:$D$27,(INT((X39-1)/4)+1)))</f>
        <v/>
      </c>
      <c r="F39" s="19" t="str">
        <f t="array" ref="F39">IF(X39="","",INDEX('Inventory - P03'!$E$16:$E$27,(INT((X39-1)/4)+1)))</f>
        <v/>
      </c>
      <c r="G39" s="19" t="str">
        <f t="array" ref="G39">IF(X39="","",INDEX('Inventory - P03'!$I$16:$I$27,(INT((X39-1)/4)+1)))</f>
        <v/>
      </c>
      <c r="H39" s="19" t="str">
        <f t="array" ref="H39">IF(X39="","",INDEX('Inventory - P03'!$J$16:$J$27,(INT((X39-1)/4)+1)))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19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P03'!$D$16:$D$27,(INT((X40-1)/4)+1)))</f>
        <v/>
      </c>
      <c r="F40" s="19" t="str">
        <f t="array" ref="F40">IF(X40="","",INDEX('Inventory - P03'!$E$16:$E$27,(INT((X40-1)/4)+1)))</f>
        <v/>
      </c>
      <c r="G40" s="19" t="str">
        <f t="array" ref="G40">IF(X40="","",INDEX('Inventory - P03'!$I$16:$I$27,(INT((X40-1)/4)+1)))</f>
        <v/>
      </c>
      <c r="H40" s="19" t="str">
        <f t="array" ref="H40">IF(X40="","",INDEX('Inventory - P03'!$J$16:$J$27,(INT((X40-1)/4)+1)))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19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P03'!$D$16:$D$27,(INT((X41-1)/4)+1)))</f>
        <v/>
      </c>
      <c r="F41" s="19" t="str">
        <f t="array" ref="F41">IF(X41="","",INDEX('Inventory - P03'!$E$16:$E$27,(INT((X41-1)/4)+1)))</f>
        <v/>
      </c>
      <c r="G41" s="19" t="str">
        <f t="array" ref="G41">IF(X41="","",INDEX('Inventory - P03'!$I$16:$I$27,(INT((X41-1)/4)+1)))</f>
        <v/>
      </c>
      <c r="H41" s="19" t="str">
        <f t="array" ref="H41">IF(X41="","",INDEX('Inventory - P03'!$J$16:$J$27,(INT((X41-1)/4)+1)))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19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P03'!$D$16:$D$27,(INT((X42-1)/4)+1)))</f>
        <v/>
      </c>
      <c r="F42" s="19" t="str">
        <f t="array" ref="F42">IF(X42="","",INDEX('Inventory - P03'!$E$16:$E$27,(INT((X42-1)/4)+1)))</f>
        <v/>
      </c>
      <c r="G42" s="19" t="str">
        <f t="array" ref="G42">IF(X42="","",INDEX('Inventory - P03'!$I$16:$I$27,(INT((X42-1)/4)+1)))</f>
        <v/>
      </c>
      <c r="H42" s="19" t="str">
        <f t="array" ref="H42">IF(X42="","",INDEX('Inventory - P03'!$J$16:$J$27,(INT((X42-1)/4)+1)))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19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P03'!$D$16:$D$27,(INT((X43-1)/4)+1)))</f>
        <v/>
      </c>
      <c r="F43" s="19" t="str">
        <f t="array" ref="F43">IF(X43="","",INDEX('Inventory - P03'!$E$16:$E$27,(INT((X43-1)/4)+1)))</f>
        <v/>
      </c>
      <c r="G43" s="19" t="str">
        <f t="array" ref="G43">IF(X43="","",INDEX('Inventory - P03'!$I$16:$I$27,(INT((X43-1)/4)+1)))</f>
        <v/>
      </c>
      <c r="H43" s="19" t="str">
        <f t="array" ref="H43">IF(X43="","",INDEX('Inventory - P03'!$J$16:$J$27,(INT((X43-1)/4)+1)))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19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P03'!$D$16:$D$27,(INT((X44-1)/4)+1)))</f>
        <v/>
      </c>
      <c r="F44" s="19" t="str">
        <f t="array" ref="F44">IF(X44="","",INDEX('Inventory - P03'!$E$16:$E$27,(INT((X44-1)/4)+1)))</f>
        <v/>
      </c>
      <c r="G44" s="19" t="str">
        <f t="array" ref="G44">IF(X44="","",INDEX('Inventory - P03'!$I$16:$I$27,(INT((X44-1)/4)+1)))</f>
        <v/>
      </c>
      <c r="H44" s="19" t="str">
        <f t="array" ref="H44">IF(X44="","",INDEX('Inventory - P03'!$J$16:$J$27,(INT((X44-1)/4)+1)))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19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P03'!$D$16:$D$27,(INT((X45-1)/4)+1)))</f>
        <v/>
      </c>
      <c r="F45" s="19" t="str">
        <f t="array" ref="F45">IF(X45="","",INDEX('Inventory - P03'!$E$16:$E$27,(INT((X45-1)/4)+1)))</f>
        <v/>
      </c>
      <c r="G45" s="19" t="str">
        <f t="array" ref="G45">IF(X45="","",INDEX('Inventory - P03'!$I$16:$I$27,(INT((X45-1)/4)+1)))</f>
        <v/>
      </c>
      <c r="H45" s="19" t="str">
        <f t="array" ref="H45">IF(X45="","",INDEX('Inventory - P03'!$J$16:$J$27,(INT((X45-1)/4)+1)))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19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P03'!$D$16:$D$27,(INT((X46-1)/4)+1)))</f>
        <v/>
      </c>
      <c r="F46" s="19" t="str">
        <f t="array" ref="F46">IF(X46="","",INDEX('Inventory - P03'!$E$16:$E$27,(INT((X46-1)/4)+1)))</f>
        <v/>
      </c>
      <c r="G46" s="19" t="str">
        <f t="array" ref="G46">IF(X46="","",INDEX('Inventory - P03'!$I$16:$I$27,(INT((X46-1)/4)+1)))</f>
        <v/>
      </c>
      <c r="H46" s="19" t="str">
        <f t="array" ref="H46">IF(X46="","",INDEX('Inventory - P03'!$J$16:$J$27,(INT((X46-1)/4)+1)))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19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P03'!$D$16:$D$27,(INT((X47-1)/4)+1)))</f>
        <v/>
      </c>
      <c r="F47" s="19" t="str">
        <f t="array" ref="F47">IF(X47="","",INDEX('Inventory - P03'!$E$16:$E$27,(INT((X47-1)/4)+1)))</f>
        <v/>
      </c>
      <c r="G47" s="19" t="str">
        <f t="array" ref="G47">IF(X47="","",INDEX('Inventory - P03'!$I$16:$I$27,(INT((X47-1)/4)+1)))</f>
        <v/>
      </c>
      <c r="H47" s="19" t="str">
        <f t="array" ref="H47">IF(X47="","",INDEX('Inventory - P03'!$J$16:$J$27,(INT((X47-1)/4)+1)))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19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P03'!$D$16:$D$27,(INT((X48-1)/4)+1)))</f>
        <v/>
      </c>
      <c r="F48" s="19" t="str">
        <f t="array" ref="F48">IF(X48="","",INDEX('Inventory - P03'!$E$16:$E$27,(INT((X48-1)/4)+1)))</f>
        <v/>
      </c>
      <c r="G48" s="19" t="str">
        <f t="array" ref="G48">IF(X48="","",INDEX('Inventory - P03'!$I$16:$I$27,(INT((X48-1)/4)+1)))</f>
        <v/>
      </c>
      <c r="H48" s="19" t="str">
        <f t="array" ref="H48">IF(X48="","",INDEX('Inventory - P03'!$J$16:$J$27,(INT((X48-1)/4)+1)))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19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P03'!$D$16:$D$27,(INT((X50-1)/4)+1)))</f>
        <v/>
      </c>
      <c r="F50" s="19" t="str">
        <f t="array" ref="F50">IF(X50="","",INDEX('Inventory - P03'!$E$16:$E$27,(INT((X50-1)/4)+1)))</f>
        <v/>
      </c>
      <c r="G50" s="19" t="str">
        <f t="array" ref="G50">IF(X50="","",INDEX('Inventory - P03'!$I$16:$I$27,(INT((X50-1)/4)+1)))</f>
        <v/>
      </c>
      <c r="H50" s="19" t="str">
        <f t="array" ref="H50">IF(X50="","",INDEX('Inventory - P03'!$J$16:$J$27,(INT((X50-1)/4)+1)))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19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P03'!$D$16:$D$27,(INT((X51-1)/4)+1)))</f>
        <v/>
      </c>
      <c r="F51" s="19" t="str">
        <f t="array" ref="F51">IF(X51="","",INDEX('Inventory - P03'!$E$16:$E$27,(INT((X51-1)/4)+1)))</f>
        <v/>
      </c>
      <c r="G51" s="19" t="str">
        <f t="array" ref="G51">IF(X51="","",INDEX('Inventory - P03'!$I$16:$I$27,(INT((X51-1)/4)+1)))</f>
        <v/>
      </c>
      <c r="H51" s="19" t="str">
        <f t="array" ref="H51">IF(X51="","",INDEX('Inventory - P03'!$J$16:$J$27,(INT((X51-1)/4)+1)))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19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P03'!$D$16:$D$27,(INT((X52-1)/4)+1)))</f>
        <v/>
      </c>
      <c r="F52" s="19" t="str">
        <f t="array" ref="F52">IF(X52="","",INDEX('Inventory - P03'!$E$16:$E$27,(INT((X52-1)/4)+1)))</f>
        <v/>
      </c>
      <c r="G52" s="19" t="str">
        <f t="array" ref="G52">IF(X52="","",INDEX('Inventory - P03'!$I$16:$I$27,(INT((X52-1)/4)+1)))</f>
        <v/>
      </c>
      <c r="H52" s="19" t="str">
        <f t="array" ref="H52">IF(X52="","",INDEX('Inventory - P03'!$J$16:$J$27,(INT((X52-1)/4)+1)))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19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P03'!$D$16:$D$27,(INT((X53-1)/4)+1)))</f>
        <v/>
      </c>
      <c r="F53" s="19" t="str">
        <f t="array" ref="F53">IF(X53="","",INDEX('Inventory - P03'!$E$16:$E$27,(INT((X53-1)/4)+1)))</f>
        <v/>
      </c>
      <c r="G53" s="19" t="str">
        <f t="array" ref="G53">IF(X53="","",INDEX('Inventory - P03'!$I$16:$I$27,(INT((X53-1)/4)+1)))</f>
        <v/>
      </c>
      <c r="H53" s="19" t="str">
        <f t="array" ref="H53">IF(X53="","",INDEX('Inventory - P03'!$J$16:$J$27,(INT((X53-1)/4)+1)))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19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P03'!$D$16:$D$27,(INT((X54-1)/4)+1)))</f>
        <v/>
      </c>
      <c r="F54" s="19" t="str">
        <f t="array" ref="F54">IF(X54="","",INDEX('Inventory - P03'!$E$16:$E$27,(INT((X54-1)/4)+1)))</f>
        <v/>
      </c>
      <c r="G54" s="19" t="str">
        <f t="array" ref="G54">IF(X54="","",INDEX('Inventory - P03'!$I$16:$I$27,(INT((X54-1)/4)+1)))</f>
        <v/>
      </c>
      <c r="H54" s="19" t="str">
        <f t="array" ref="H54">IF(X54="","",INDEX('Inventory - P03'!$J$16:$J$27,(INT((X54-1)/4)+1)))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19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P03'!$D$16:$D$27,(INT((X55-1)/4)+1)))</f>
        <v/>
      </c>
      <c r="F55" s="19" t="str">
        <f t="array" ref="F55">IF(X55="","",INDEX('Inventory - P03'!$E$16:$E$27,(INT((X55-1)/4)+1)))</f>
        <v/>
      </c>
      <c r="G55" s="19" t="str">
        <f t="array" ref="G55">IF(X55="","",INDEX('Inventory - P03'!$I$16:$I$27,(INT((X55-1)/4)+1)))</f>
        <v/>
      </c>
      <c r="H55" s="19" t="str">
        <f t="array" ref="H55">IF(X55="","",INDEX('Inventory - P03'!$J$16:$J$27,(INT((X55-1)/4)+1)))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19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P03'!$D$16:$D$27,(INT((X56-1)/4)+1)))</f>
        <v/>
      </c>
      <c r="F56" s="19" t="str">
        <f t="array" ref="F56">IF(X56="","",INDEX('Inventory - P03'!$E$16:$E$27,(INT((X56-1)/4)+1)))</f>
        <v/>
      </c>
      <c r="G56" s="19" t="str">
        <f t="array" ref="G56">IF(X56="","",INDEX('Inventory - P03'!$I$16:$I$27,(INT((X56-1)/4)+1)))</f>
        <v/>
      </c>
      <c r="H56" s="19" t="str">
        <f t="array" ref="H56">IF(X56="","",INDEX('Inventory - P03'!$J$16:$J$27,(INT((X56-1)/4)+1)))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19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P03'!$D$16:$D$27,(INT((X57-1)/4)+1)))</f>
        <v/>
      </c>
      <c r="F57" s="19" t="str">
        <f t="array" ref="F57">IF(X57="","",INDEX('Inventory - P03'!$E$16:$E$27,(INT((X57-1)/4)+1)))</f>
        <v/>
      </c>
      <c r="G57" s="19" t="str">
        <f t="array" ref="G57">IF(X57="","",INDEX('Inventory - P03'!$I$16:$I$27,(INT((X57-1)/4)+1)))</f>
        <v/>
      </c>
      <c r="H57" s="19" t="str">
        <f t="array" ref="H57">IF(X57="","",INDEX('Inventory - P03'!$J$16:$J$27,(INT((X57-1)/4)+1)))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19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P03'!$D$16:$D$27,(INT((X58-1)/4)+1)))</f>
        <v/>
      </c>
      <c r="F58" s="19" t="str">
        <f t="array" ref="F58">IF(X58="","",INDEX('Inventory - P03'!$E$16:$E$27,(INT((X58-1)/4)+1)))</f>
        <v/>
      </c>
      <c r="G58" s="19" t="str">
        <f t="array" ref="G58">IF(X58="","",INDEX('Inventory - P03'!$I$16:$I$27,(INT((X58-1)/4)+1)))</f>
        <v/>
      </c>
      <c r="H58" s="19" t="str">
        <f t="array" ref="H58">IF(X58="","",INDEX('Inventory - P03'!$J$16:$J$27,(INT((X58-1)/4)+1)))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19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P03'!$D$16:$D$27,(INT((X59-1)/4)+1)))</f>
        <v/>
      </c>
      <c r="F59" s="19" t="str">
        <f t="array" ref="F59">IF(X59="","",INDEX('Inventory - P03'!$E$16:$E$27,(INT((X59-1)/4)+1)))</f>
        <v/>
      </c>
      <c r="G59" s="19" t="str">
        <f t="array" ref="G59">IF(X59="","",INDEX('Inventory - P03'!$I$16:$I$27,(INT((X59-1)/4)+1)))</f>
        <v/>
      </c>
      <c r="H59" s="19" t="str">
        <f t="array" ref="H59">IF(X59="","",INDEX('Inventory - P03'!$J$16:$J$27,(INT((X59-1)/4)+1)))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19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P03'!$D$16:$D$27,(INT((X60-1)/4)+1)))</f>
        <v/>
      </c>
      <c r="F60" s="19" t="str">
        <f t="array" ref="F60">IF(X60="","",INDEX('Inventory - P03'!$E$16:$E$27,(INT((X60-1)/4)+1)))</f>
        <v/>
      </c>
      <c r="G60" s="19" t="str">
        <f t="array" ref="G60">IF(X60="","",INDEX('Inventory - P03'!$I$16:$I$27,(INT((X60-1)/4)+1)))</f>
        <v/>
      </c>
      <c r="H60" s="19" t="str">
        <f t="array" ref="H60">IF(X60="","",INDEX('Inventory - P03'!$J$16:$J$27,(INT((X60-1)/4)+1)))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19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P03'!$D$16:$D$27,(INT((X61-1)/4)+1)))</f>
        <v/>
      </c>
      <c r="F61" s="19" t="str">
        <f t="array" ref="F61">IF(X61="","",INDEX('Inventory - P03'!$E$16:$E$27,(INT((X61-1)/4)+1)))</f>
        <v/>
      </c>
      <c r="G61" s="19" t="str">
        <f t="array" ref="G61">IF(X61="","",INDEX('Inventory - P03'!$I$16:$I$27,(INT((X61-1)/4)+1)))</f>
        <v/>
      </c>
      <c r="H61" s="19" t="str">
        <f t="array" ref="H61">IF(X61="","",INDEX('Inventory - P03'!$J$16:$J$27,(INT((X61-1)/4)+1)))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P03'!E16&lt;1,'Inventory - P03'!F16="",'Inventory - P03'!G16=""),9,MOD('Inventory - P03'!F16+0*'Inventory - P03'!G16/24,1))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P03'!E16&lt;2,'Inventory - P03'!F16="",'Inventory - P03'!G16=""),9,MOD('Inventory - P03'!F16+1*'Inventory - P03'!G16/24,1))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P03'!E16&lt;3,'Inventory - P03'!F16="",'Inventory - P03'!G16=""),9,MOD('Inventory - P03'!F16+2*'Inventory - P03'!G16/24,1))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P03'!E16&lt;4,'Inventory - P03'!F16="",'Inventory - P03'!G16=""),9,MOD('Inventory - P03'!F16+3*'Inventory - P03'!G16/24,1))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P03'!E17&lt;1,'Inventory - P03'!F17="",'Inventory - P03'!G17=""),9,MOD('Inventory - P03'!F17+0*'Inventory - P03'!G17/24,1))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P03'!E17&lt;2,'Inventory - P03'!F17="",'Inventory - P03'!G17=""),9,MOD('Inventory - P03'!F17+1*'Inventory - P03'!G17/24,1))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P03'!E17&lt;3,'Inventory - P03'!F17="",'Inventory - P03'!G17=""),9,MOD('Inventory - P03'!F17+2*'Inventory - P03'!G17/24,1))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P03'!E17&lt;4,'Inventory - P03'!F17="",'Inventory - P03'!G17=""),9,MOD('Inventory - P03'!F17+3*'Inventory - P03'!G17/24,1))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P03'!E18&lt;1,'Inventory - P03'!F18="",'Inventory - P03'!G18=""),9,MOD('Inventory - P03'!F18+0*'Inventory - P03'!G18/24,1))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P03'!E18&lt;2,'Inventory - P03'!F18="",'Inventory - P03'!G18=""),9,MOD('Inventory - P03'!F18+1*'Inventory - P03'!G18/24,1))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P03'!E18&lt;3,'Inventory - P03'!F18="",'Inventory - P03'!G18=""),9,MOD('Inventory - P03'!F18+2*'Inventory - P03'!G18/24,1))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P03'!E18&lt;4,'Inventory - P03'!F18="",'Inventory - P03'!G18=""),9,MOD('Inventory - P03'!F18+3*'Inventory - P03'!G18/24,1))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P03'!E19&lt;1,'Inventory - P03'!F19="",'Inventory - P03'!G19=""),9,MOD('Inventory - P03'!F19+0*'Inventory - P03'!G19/24,1))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P03'!E19&lt;2,'Inventory - P03'!F19="",'Inventory - P03'!G19=""),9,MOD('Inventory - P03'!F19+1*'Inventory - P03'!G19/24,1))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P03'!E19&lt;3,'Inventory - P03'!F19="",'Inventory - P03'!G19=""),9,MOD('Inventory - P03'!F19+2*'Inventory - P03'!G19/24,1))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P03'!E19&lt;4,'Inventory - P03'!F19="",'Inventory - P03'!G19=""),9,MOD('Inventory - P03'!F19+3*'Inventory - P03'!G19/24,1))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P03'!E20&lt;1,'Inventory - P03'!F20="",'Inventory - P03'!G20=""),9,MOD('Inventory - P03'!F20+0*'Inventory - P03'!G20/24,1))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P03'!E20&lt;2,'Inventory - P03'!F20="",'Inventory - P03'!G20=""),9,MOD('Inventory - P03'!F20+1*'Inventory - P03'!G20/24,1))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P03'!E20&lt;3,'Inventory - P03'!F20="",'Inventory - P03'!G20=""),9,MOD('Inventory - P03'!F20+2*'Inventory - P03'!G20/24,1))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P03'!E20&lt;4,'Inventory - P03'!F20="",'Inventory - P03'!G20=""),9,MOD('Inventory - P03'!F20+3*'Inventory - P03'!G20/24,1))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P03'!E21&lt;1,'Inventory - P03'!F21="",'Inventory - P03'!G21=""),9,MOD('Inventory - P03'!F21+0*'Inventory - P03'!G21/24,1))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P03'!E21&lt;2,'Inventory - P03'!F21="",'Inventory - P03'!G21=""),9,MOD('Inventory - P03'!F21+1*'Inventory - P03'!G21/24,1))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P03'!E21&lt;3,'Inventory - P03'!F21="",'Inventory - P03'!G21=""),9,MOD('Inventory - P03'!F21+2*'Inventory - P03'!G21/24,1))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P03'!E21&lt;4,'Inventory - P03'!F21="",'Inventory - P03'!G21=""),9,MOD('Inventory - P03'!F21+3*'Inventory - P03'!G21/24,1))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P03'!E22&lt;1,'Inventory - P03'!F22="",'Inventory - P03'!G22=""),9,MOD('Inventory - P03'!F22+0*'Inventory - P03'!G22/24,1))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P03'!E22&lt;2,'Inventory - P03'!F22="",'Inventory - P03'!G22=""),9,MOD('Inventory - P03'!F22+1*'Inventory - P03'!G22/24,1))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P03'!E22&lt;3,'Inventory - P03'!F22="",'Inventory - P03'!G22=""),9,MOD('Inventory - P03'!F22+2*'Inventory - P03'!G22/24,1))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P03'!E22&lt;4,'Inventory - P03'!F22="",'Inventory - P03'!G22=""),9,MOD('Inventory - P03'!F22+3*'Inventory - P03'!G22/24,1))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P03'!E23&lt;1,'Inventory - P03'!F23="",'Inventory - P03'!G23=""),9,MOD('Inventory - P03'!F23+0*'Inventory - P03'!G23/24,1))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P03'!E23&lt;2,'Inventory - P03'!F23="",'Inventory - P03'!G23=""),9,MOD('Inventory - P03'!F23+1*'Inventory - P03'!G23/24,1))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P03'!E23&lt;3,'Inventory - P03'!F23="",'Inventory - P03'!G23=""),9,MOD('Inventory - P03'!F23+2*'Inventory - P03'!G23/24,1))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P03'!E23&lt;4,'Inventory - P03'!F23="",'Inventory - P03'!G23=""),9,MOD('Inventory - P03'!F23+3*'Inventory - P03'!G23/24,1))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P03'!E24&lt;1,'Inventory - P03'!F24="",'Inventory - P03'!G24=""),9,MOD('Inventory - P03'!F24+0*'Inventory - P03'!G24/24,1))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P03'!E24&lt;2,'Inventory - P03'!F24="",'Inventory - P03'!G24=""),9,MOD('Inventory - P03'!F24+1*'Inventory - P03'!G24/24,1))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P03'!E24&lt;3,'Inventory - P03'!F24="",'Inventory - P03'!G24=""),9,MOD('Inventory - P03'!F24+2*'Inventory - P03'!G24/24,1))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P03'!E24&lt;4,'Inventory - P03'!F24="",'Inventory - P03'!G24=""),9,MOD('Inventory - P03'!F24+3*'Inventory - P03'!G24/24,1))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P03'!E25&lt;1,'Inventory - P03'!F25="",'Inventory - P03'!G25=""),9,MOD('Inventory - P03'!F25+0*'Inventory - P03'!G25/24,1))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P03'!E25&lt;2,'Inventory - P03'!F25="",'Inventory - P03'!G25=""),9,MOD('Inventory - P03'!F25+1*'Inventory - P03'!G25/24,1))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P03'!E25&lt;3,'Inventory - P03'!F25="",'Inventory - P03'!G25=""),9,MOD('Inventory - P03'!F25+2*'Inventory - P03'!G25/24,1))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P03'!E25&lt;4,'Inventory - P03'!F25="",'Inventory - P03'!G25=""),9,MOD('Inventory - P03'!F25+3*'Inventory - P03'!G25/24,1))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P03'!E26&lt;1,'Inventory - P03'!F26="",'Inventory - P03'!G26=""),9,MOD('Inventory - P03'!F26+0*'Inventory - P03'!G26/24,1))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P03'!E26&lt;2,'Inventory - P03'!F26="",'Inventory - P03'!G26=""),9,MOD('Inventory - P03'!F26+1*'Inventory - P03'!G26/24,1))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P03'!E26&lt;3,'Inventory - P03'!F26="",'Inventory - P03'!G26=""),9,MOD('Inventory - P03'!F26+2*'Inventory - P03'!G26/24,1))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P03'!E26&lt;4,'Inventory - P03'!F26="",'Inventory - P03'!G26=""),9,MOD('Inventory - P03'!F26+3*'Inventory - P03'!G26/24,1))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P03'!E27&lt;1,'Inventory - P03'!F27="",'Inventory - P03'!G27=""),9,MOD('Inventory - P03'!F27+0*'Inventory - P03'!G27/24,1))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P03'!E27&lt;2,'Inventory - P03'!F27="",'Inventory - P03'!G27=""),9,MOD('Inventory - P03'!F27+1*'Inventory - P03'!G27/24,1))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P03'!E27&lt;3,'Inventory - P03'!F27="",'Inventory - P03'!G27=""),9,MOD('Inventory - P03'!F27+2*'Inventory - P03'!G27/24,1))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P03'!E27&lt;4,'Inventory - P03'!F27="",'Inventory - P03'!G27=""),9,MOD('Inventory - P03'!F27+3*'Inventory - P03'!G27/24,1))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Tracker'!S8="","","INV-"&amp;SUBSTITUTE('Client Needs Tracker'!S8," ",""))</f>
        <v>INV-M-2B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Tracker'!B8="","(Add client on Client Needs Tracker, row 8)",'Client Needs Tracker'!B8)</f>
        <v>(Add client on Client Needs Tracker, row 8)</v>
      </c>
      <c r="B6" s="104"/>
      <c r="C6" s="104"/>
      <c r="D6" s="104"/>
      <c r="E6" s="104"/>
      <c r="F6" s="105" t="str">
        <f>'Client Needs Tracker'!A8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Tracker'!C8="","",'Client Needs Tracker'!C8)</f>
        <v/>
      </c>
      <c r="B8" s="104"/>
      <c r="C8" s="104"/>
      <c r="D8" s="104"/>
      <c r="E8" s="104"/>
      <c r="F8" s="108" t="str">
        <f>'Client Needs Tracker'!E8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Tracker'!F8="","",'Client Needs Tracker'!F8)</f>
        <v/>
      </c>
      <c r="B10" s="104"/>
      <c r="C10" s="104"/>
      <c r="D10" s="104"/>
      <c r="E10" s="104"/>
      <c r="F10" s="110" t="str">
        <f>IF('Client Status Board'!G8="","",'Client Status Board'!G8)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Board'!L8="","",'Client Status Board'!L8)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ht="15.0" customHeight="1">
      <c r="A3" s="130" t="str">
        <f>IF('Inventory - P04'!A6="","(Enter name in Inventory - P04)",'Inventory - P04'!A6)</f>
        <v>(Add client on Client Needs Tracker, row 8)</v>
      </c>
      <c r="B3" s="131"/>
      <c r="C3" s="131"/>
      <c r="D3" s="131"/>
      <c r="E3" s="131"/>
      <c r="F3" s="132" t="str">
        <f>IF('Inventory - P04'!F6="","(Enter ID in Inventory - P04)","Member ID: "&amp;'Inventory - P04'!F6)</f>
        <v>(Enter ID in Inventory - P04)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Tracker'!S8="","","INV-"&amp;SUBSTITUTE('Client Needs Tracker'!S8," ",""))</f>
        <v>INV-M-2B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P04'!F8="","-",'Inventory - P04'!F8)</f>
        <v>LOC: -</v>
      </c>
      <c r="C5" s="3"/>
      <c r="D5" s="134" t="str">
        <f>"Case Manager: "&amp;IF('Inventory - P04'!A10="","-",'Inventory - P04'!A10)</f>
        <v>Case Manager: -</v>
      </c>
      <c r="F5" s="3"/>
      <c r="G5" s="134" t="str">
        <f>"Doctor: "&amp;IF('Inventory - P04'!F10="","-",'Inventory - P04'!F10)</f>
        <v>Doctor: -</v>
      </c>
      <c r="I5" s="3"/>
      <c r="J5" s="134" t="str">
        <f>"Pharmacy: "&amp;IF('Inventory - P04'!A12="","-",'Inventory - P04'!A12)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P04'!A14="","",'Inventory - P04'!A14)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P04'!A14="","",'Inventory - P04'!A14+0)</f>
        <v/>
      </c>
      <c r="J8" s="139"/>
      <c r="K8" s="138" t="str">
        <f>IF('Inventory - P04'!A14="","",'Inventory - P04'!A14+1)</f>
        <v/>
      </c>
      <c r="L8" s="139"/>
      <c r="M8" s="138" t="str">
        <f>IF('Inventory - P04'!A14="","",'Inventory - P04'!A14+2)</f>
        <v/>
      </c>
      <c r="N8" s="139"/>
      <c r="O8" s="138" t="str">
        <f>IF('Inventory - P04'!A14="","",'Inventory - P04'!A14+3)</f>
        <v/>
      </c>
      <c r="P8" s="139"/>
      <c r="Q8" s="138" t="str">
        <f>IF('Inventory - P04'!A14="","",'Inventory - P04'!A14+4)</f>
        <v/>
      </c>
      <c r="R8" s="139"/>
      <c r="S8" s="138" t="str">
        <f>IF('Inventory - P04'!A14="","",'Inventory - P04'!A14+5)</f>
        <v/>
      </c>
      <c r="T8" s="139"/>
      <c r="U8" s="138" t="str">
        <f>IF('Inventory - P04'!A14="","",'Inventory - P04'!A14+6)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19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P04'!$D$16:$D$27,(INT((X11-1)/4)+1)))</f>
        <v/>
      </c>
      <c r="F11" s="19" t="str">
        <f t="array" ref="F11">IF(X11="","",INDEX('Inventory - P04'!$E$16:$E$27,(INT((X11-1)/4)+1)))</f>
        <v/>
      </c>
      <c r="G11" s="19" t="str">
        <f t="array" ref="G11">IF(X11="","",INDEX('Inventory - P04'!$I$16:$I$27,(INT((X11-1)/4)+1)))</f>
        <v/>
      </c>
      <c r="H11" s="19" t="str">
        <f t="array" ref="H11">IF(X11="","",INDEX('Inventory - P04'!$J$16:$J$27,(INT((X11-1)/4)+1)))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19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P04'!$D$16:$D$27,(INT((X12-1)/4)+1)))</f>
        <v/>
      </c>
      <c r="F12" s="19" t="str">
        <f t="array" ref="F12">IF(X12="","",INDEX('Inventory - P04'!$E$16:$E$27,(INT((X12-1)/4)+1)))</f>
        <v/>
      </c>
      <c r="G12" s="19" t="str">
        <f t="array" ref="G12">IF(X12="","",INDEX('Inventory - P04'!$I$16:$I$27,(INT((X12-1)/4)+1)))</f>
        <v/>
      </c>
      <c r="H12" s="19" t="str">
        <f t="array" ref="H12">IF(X12="","",INDEX('Inventory - P04'!$J$16:$J$27,(INT((X12-1)/4)+1)))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19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P04'!$D$16:$D$27,(INT((X13-1)/4)+1)))</f>
        <v/>
      </c>
      <c r="F13" s="19" t="str">
        <f t="array" ref="F13">IF(X13="","",INDEX('Inventory - P04'!$E$16:$E$27,(INT((X13-1)/4)+1)))</f>
        <v/>
      </c>
      <c r="G13" s="19" t="str">
        <f t="array" ref="G13">IF(X13="","",INDEX('Inventory - P04'!$I$16:$I$27,(INT((X13-1)/4)+1)))</f>
        <v/>
      </c>
      <c r="H13" s="19" t="str">
        <f t="array" ref="H13">IF(X13="","",INDEX('Inventory - P04'!$J$16:$J$27,(INT((X13-1)/4)+1)))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19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P04'!$D$16:$D$27,(INT((X14-1)/4)+1)))</f>
        <v/>
      </c>
      <c r="F14" s="19" t="str">
        <f t="array" ref="F14">IF(X14="","",INDEX('Inventory - P04'!$E$16:$E$27,(INT((X14-1)/4)+1)))</f>
        <v/>
      </c>
      <c r="G14" s="19" t="str">
        <f t="array" ref="G14">IF(X14="","",INDEX('Inventory - P04'!$I$16:$I$27,(INT((X14-1)/4)+1)))</f>
        <v/>
      </c>
      <c r="H14" s="19" t="str">
        <f t="array" ref="H14">IF(X14="","",INDEX('Inventory - P04'!$J$16:$J$27,(INT((X14-1)/4)+1)))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19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P04'!$D$16:$D$27,(INT((X15-1)/4)+1)))</f>
        <v/>
      </c>
      <c r="F15" s="19" t="str">
        <f t="array" ref="F15">IF(X15="","",INDEX('Inventory - P04'!$E$16:$E$27,(INT((X15-1)/4)+1)))</f>
        <v/>
      </c>
      <c r="G15" s="19" t="str">
        <f t="array" ref="G15">IF(X15="","",INDEX('Inventory - P04'!$I$16:$I$27,(INT((X15-1)/4)+1)))</f>
        <v/>
      </c>
      <c r="H15" s="19" t="str">
        <f t="array" ref="H15">IF(X15="","",INDEX('Inventory - P04'!$J$16:$J$27,(INT((X15-1)/4)+1)))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19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P04'!$D$16:$D$27,(INT((X16-1)/4)+1)))</f>
        <v/>
      </c>
      <c r="F16" s="19" t="str">
        <f t="array" ref="F16">IF(X16="","",INDEX('Inventory - P04'!$E$16:$E$27,(INT((X16-1)/4)+1)))</f>
        <v/>
      </c>
      <c r="G16" s="19" t="str">
        <f t="array" ref="G16">IF(X16="","",INDEX('Inventory - P04'!$I$16:$I$27,(INT((X16-1)/4)+1)))</f>
        <v/>
      </c>
      <c r="H16" s="19" t="str">
        <f t="array" ref="H16">IF(X16="","",INDEX('Inventory - P04'!$J$16:$J$27,(INT((X16-1)/4)+1)))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19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P04'!$D$16:$D$27,(INT((X17-1)/4)+1)))</f>
        <v/>
      </c>
      <c r="F17" s="19" t="str">
        <f t="array" ref="F17">IF(X17="","",INDEX('Inventory - P04'!$E$16:$E$27,(INT((X17-1)/4)+1)))</f>
        <v/>
      </c>
      <c r="G17" s="19" t="str">
        <f t="array" ref="G17">IF(X17="","",INDEX('Inventory - P04'!$I$16:$I$27,(INT((X17-1)/4)+1)))</f>
        <v/>
      </c>
      <c r="H17" s="19" t="str">
        <f t="array" ref="H17">IF(X17="","",INDEX('Inventory - P04'!$J$16:$J$27,(INT((X17-1)/4)+1)))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19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P04'!$D$16:$D$27,(INT((X18-1)/4)+1)))</f>
        <v/>
      </c>
      <c r="F18" s="19" t="str">
        <f t="array" ref="F18">IF(X18="","",INDEX('Inventory - P04'!$E$16:$E$27,(INT((X18-1)/4)+1)))</f>
        <v/>
      </c>
      <c r="G18" s="19" t="str">
        <f t="array" ref="G18">IF(X18="","",INDEX('Inventory - P04'!$I$16:$I$27,(INT((X18-1)/4)+1)))</f>
        <v/>
      </c>
      <c r="H18" s="19" t="str">
        <f t="array" ref="H18">IF(X18="","",INDEX('Inventory - P04'!$J$16:$J$27,(INT((X18-1)/4)+1)))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19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P04'!$D$16:$D$27,(INT((X19-1)/4)+1)))</f>
        <v/>
      </c>
      <c r="F19" s="19" t="str">
        <f t="array" ref="F19">IF(X19="","",INDEX('Inventory - P04'!$E$16:$E$27,(INT((X19-1)/4)+1)))</f>
        <v/>
      </c>
      <c r="G19" s="19" t="str">
        <f t="array" ref="G19">IF(X19="","",INDEX('Inventory - P04'!$I$16:$I$27,(INT((X19-1)/4)+1)))</f>
        <v/>
      </c>
      <c r="H19" s="19" t="str">
        <f t="array" ref="H19">IF(X19="","",INDEX('Inventory - P04'!$J$16:$J$27,(INT((X19-1)/4)+1)))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19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P04'!$D$16:$D$27,(INT((X20-1)/4)+1)))</f>
        <v/>
      </c>
      <c r="F20" s="19" t="str">
        <f t="array" ref="F20">IF(X20="","",INDEX('Inventory - P04'!$E$16:$E$27,(INT((X20-1)/4)+1)))</f>
        <v/>
      </c>
      <c r="G20" s="19" t="str">
        <f t="array" ref="G20">IF(X20="","",INDEX('Inventory - P04'!$I$16:$I$27,(INT((X20-1)/4)+1)))</f>
        <v/>
      </c>
      <c r="H20" s="19" t="str">
        <f t="array" ref="H20">IF(X20="","",INDEX('Inventory - P04'!$J$16:$J$27,(INT((X20-1)/4)+1)))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19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P04'!$D$16:$D$27,(INT((X21-1)/4)+1)))</f>
        <v/>
      </c>
      <c r="F21" s="19" t="str">
        <f t="array" ref="F21">IF(X21="","",INDEX('Inventory - P04'!$E$16:$E$27,(INT((X21-1)/4)+1)))</f>
        <v/>
      </c>
      <c r="G21" s="19" t="str">
        <f t="array" ref="G21">IF(X21="","",INDEX('Inventory - P04'!$I$16:$I$27,(INT((X21-1)/4)+1)))</f>
        <v/>
      </c>
      <c r="H21" s="19" t="str">
        <f t="array" ref="H21">IF(X21="","",INDEX('Inventory - P04'!$J$16:$J$27,(INT((X21-1)/4)+1)))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19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P04'!$D$16:$D$27,(INT((X22-1)/4)+1)))</f>
        <v/>
      </c>
      <c r="F22" s="19" t="str">
        <f t="array" ref="F22">IF(X22="","",INDEX('Inventory - P04'!$E$16:$E$27,(INT((X22-1)/4)+1)))</f>
        <v/>
      </c>
      <c r="G22" s="19" t="str">
        <f t="array" ref="G22">IF(X22="","",INDEX('Inventory - P04'!$I$16:$I$27,(INT((X22-1)/4)+1)))</f>
        <v/>
      </c>
      <c r="H22" s="19" t="str">
        <f t="array" ref="H22">IF(X22="","",INDEX('Inventory - P04'!$J$16:$J$27,(INT((X22-1)/4)+1)))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19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P04'!$D$16:$D$27,(INT((X24-1)/4)+1)))</f>
        <v/>
      </c>
      <c r="F24" s="19" t="str">
        <f t="array" ref="F24">IF(X24="","",INDEX('Inventory - P04'!$E$16:$E$27,(INT((X24-1)/4)+1)))</f>
        <v/>
      </c>
      <c r="G24" s="19" t="str">
        <f t="array" ref="G24">IF(X24="","",INDEX('Inventory - P04'!$I$16:$I$27,(INT((X24-1)/4)+1)))</f>
        <v/>
      </c>
      <c r="H24" s="19" t="str">
        <f t="array" ref="H24">IF(X24="","",INDEX('Inventory - P04'!$J$16:$J$27,(INT((X24-1)/4)+1)))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19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P04'!$D$16:$D$27,(INT((X25-1)/4)+1)))</f>
        <v/>
      </c>
      <c r="F25" s="19" t="str">
        <f t="array" ref="F25">IF(X25="","",INDEX('Inventory - P04'!$E$16:$E$27,(INT((X25-1)/4)+1)))</f>
        <v/>
      </c>
      <c r="G25" s="19" t="str">
        <f t="array" ref="G25">IF(X25="","",INDEX('Inventory - P04'!$I$16:$I$27,(INT((X25-1)/4)+1)))</f>
        <v/>
      </c>
      <c r="H25" s="19" t="str">
        <f t="array" ref="H25">IF(X25="","",INDEX('Inventory - P04'!$J$16:$J$27,(INT((X25-1)/4)+1)))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19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P04'!$D$16:$D$27,(INT((X26-1)/4)+1)))</f>
        <v/>
      </c>
      <c r="F26" s="19" t="str">
        <f t="array" ref="F26">IF(X26="","",INDEX('Inventory - P04'!$E$16:$E$27,(INT((X26-1)/4)+1)))</f>
        <v/>
      </c>
      <c r="G26" s="19" t="str">
        <f t="array" ref="G26">IF(X26="","",INDEX('Inventory - P04'!$I$16:$I$27,(INT((X26-1)/4)+1)))</f>
        <v/>
      </c>
      <c r="H26" s="19" t="str">
        <f t="array" ref="H26">IF(X26="","",INDEX('Inventory - P04'!$J$16:$J$27,(INT((X26-1)/4)+1)))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19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P04'!$D$16:$D$27,(INT((X27-1)/4)+1)))</f>
        <v/>
      </c>
      <c r="F27" s="19" t="str">
        <f t="array" ref="F27">IF(X27="","",INDEX('Inventory - P04'!$E$16:$E$27,(INT((X27-1)/4)+1)))</f>
        <v/>
      </c>
      <c r="G27" s="19" t="str">
        <f t="array" ref="G27">IF(X27="","",INDEX('Inventory - P04'!$I$16:$I$27,(INT((X27-1)/4)+1)))</f>
        <v/>
      </c>
      <c r="H27" s="19" t="str">
        <f t="array" ref="H27">IF(X27="","",INDEX('Inventory - P04'!$J$16:$J$27,(INT((X27-1)/4)+1)))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19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P04'!$D$16:$D$27,(INT((X28-1)/4)+1)))</f>
        <v/>
      </c>
      <c r="F28" s="19" t="str">
        <f t="array" ref="F28">IF(X28="","",INDEX('Inventory - P04'!$E$16:$E$27,(INT((X28-1)/4)+1)))</f>
        <v/>
      </c>
      <c r="G28" s="19" t="str">
        <f t="array" ref="G28">IF(X28="","",INDEX('Inventory - P04'!$I$16:$I$27,(INT((X28-1)/4)+1)))</f>
        <v/>
      </c>
      <c r="H28" s="19" t="str">
        <f t="array" ref="H28">IF(X28="","",INDEX('Inventory - P04'!$J$16:$J$27,(INT((X28-1)/4)+1)))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19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P04'!$D$16:$D$27,(INT((X29-1)/4)+1)))</f>
        <v/>
      </c>
      <c r="F29" s="19" t="str">
        <f t="array" ref="F29">IF(X29="","",INDEX('Inventory - P04'!$E$16:$E$27,(INT((X29-1)/4)+1)))</f>
        <v/>
      </c>
      <c r="G29" s="19" t="str">
        <f t="array" ref="G29">IF(X29="","",INDEX('Inventory - P04'!$I$16:$I$27,(INT((X29-1)/4)+1)))</f>
        <v/>
      </c>
      <c r="H29" s="19" t="str">
        <f t="array" ref="H29">IF(X29="","",INDEX('Inventory - P04'!$J$16:$J$27,(INT((X29-1)/4)+1)))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19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P04'!$D$16:$D$27,(INT((X30-1)/4)+1)))</f>
        <v/>
      </c>
      <c r="F30" s="19" t="str">
        <f t="array" ref="F30">IF(X30="","",INDEX('Inventory - P04'!$E$16:$E$27,(INT((X30-1)/4)+1)))</f>
        <v/>
      </c>
      <c r="G30" s="19" t="str">
        <f t="array" ref="G30">IF(X30="","",INDEX('Inventory - P04'!$I$16:$I$27,(INT((X30-1)/4)+1)))</f>
        <v/>
      </c>
      <c r="H30" s="19" t="str">
        <f t="array" ref="H30">IF(X30="","",INDEX('Inventory - P04'!$J$16:$J$27,(INT((X30-1)/4)+1)))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19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P04'!$D$16:$D$27,(INT((X31-1)/4)+1)))</f>
        <v/>
      </c>
      <c r="F31" s="19" t="str">
        <f t="array" ref="F31">IF(X31="","",INDEX('Inventory - P04'!$E$16:$E$27,(INT((X31-1)/4)+1)))</f>
        <v/>
      </c>
      <c r="G31" s="19" t="str">
        <f t="array" ref="G31">IF(X31="","",INDEX('Inventory - P04'!$I$16:$I$27,(INT((X31-1)/4)+1)))</f>
        <v/>
      </c>
      <c r="H31" s="19" t="str">
        <f t="array" ref="H31">IF(X31="","",INDEX('Inventory - P04'!$J$16:$J$27,(INT((X31-1)/4)+1)))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19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P04'!$D$16:$D$27,(INT((X32-1)/4)+1)))</f>
        <v/>
      </c>
      <c r="F32" s="19" t="str">
        <f t="array" ref="F32">IF(X32="","",INDEX('Inventory - P04'!$E$16:$E$27,(INT((X32-1)/4)+1)))</f>
        <v/>
      </c>
      <c r="G32" s="19" t="str">
        <f t="array" ref="G32">IF(X32="","",INDEX('Inventory - P04'!$I$16:$I$27,(INT((X32-1)/4)+1)))</f>
        <v/>
      </c>
      <c r="H32" s="19" t="str">
        <f t="array" ref="H32">IF(X32="","",INDEX('Inventory - P04'!$J$16:$J$27,(INT((X32-1)/4)+1)))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19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P04'!$D$16:$D$27,(INT((X33-1)/4)+1)))</f>
        <v/>
      </c>
      <c r="F33" s="19" t="str">
        <f t="array" ref="F33">IF(X33="","",INDEX('Inventory - P04'!$E$16:$E$27,(INT((X33-1)/4)+1)))</f>
        <v/>
      </c>
      <c r="G33" s="19" t="str">
        <f t="array" ref="G33">IF(X33="","",INDEX('Inventory - P04'!$I$16:$I$27,(INT((X33-1)/4)+1)))</f>
        <v/>
      </c>
      <c r="H33" s="19" t="str">
        <f t="array" ref="H33">IF(X33="","",INDEX('Inventory - P04'!$J$16:$J$27,(INT((X33-1)/4)+1)))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19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P04'!$D$16:$D$27,(INT((X34-1)/4)+1)))</f>
        <v/>
      </c>
      <c r="F34" s="19" t="str">
        <f t="array" ref="F34">IF(X34="","",INDEX('Inventory - P04'!$E$16:$E$27,(INT((X34-1)/4)+1)))</f>
        <v/>
      </c>
      <c r="G34" s="19" t="str">
        <f t="array" ref="G34">IF(X34="","",INDEX('Inventory - P04'!$I$16:$I$27,(INT((X34-1)/4)+1)))</f>
        <v/>
      </c>
      <c r="H34" s="19" t="str">
        <f t="array" ref="H34">IF(X34="","",INDEX('Inventory - P04'!$J$16:$J$27,(INT((X34-1)/4)+1)))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19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P04'!$D$16:$D$27,(INT((X35-1)/4)+1)))</f>
        <v/>
      </c>
      <c r="F35" s="19" t="str">
        <f t="array" ref="F35">IF(X35="","",INDEX('Inventory - P04'!$E$16:$E$27,(INT((X35-1)/4)+1)))</f>
        <v/>
      </c>
      <c r="G35" s="19" t="str">
        <f t="array" ref="G35">IF(X35="","",INDEX('Inventory - P04'!$I$16:$I$27,(INT((X35-1)/4)+1)))</f>
        <v/>
      </c>
      <c r="H35" s="19" t="str">
        <f t="array" ref="H35">IF(X35="","",INDEX('Inventory - P04'!$J$16:$J$27,(INT((X35-1)/4)+1)))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19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P04'!$D$16:$D$27,(INT((X37-1)/4)+1)))</f>
        <v/>
      </c>
      <c r="F37" s="19" t="str">
        <f t="array" ref="F37">IF(X37="","",INDEX('Inventory - P04'!$E$16:$E$27,(INT((X37-1)/4)+1)))</f>
        <v/>
      </c>
      <c r="G37" s="19" t="str">
        <f t="array" ref="G37">IF(X37="","",INDEX('Inventory - P04'!$I$16:$I$27,(INT((X37-1)/4)+1)))</f>
        <v/>
      </c>
      <c r="H37" s="19" t="str">
        <f t="array" ref="H37">IF(X37="","",INDEX('Inventory - P04'!$J$16:$J$27,(INT((X37-1)/4)+1)))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19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P04'!$D$16:$D$27,(INT((X38-1)/4)+1)))</f>
        <v/>
      </c>
      <c r="F38" s="19" t="str">
        <f t="array" ref="F38">IF(X38="","",INDEX('Inventory - P04'!$E$16:$E$27,(INT((X38-1)/4)+1)))</f>
        <v/>
      </c>
      <c r="G38" s="19" t="str">
        <f t="array" ref="G38">IF(X38="","",INDEX('Inventory - P04'!$I$16:$I$27,(INT((X38-1)/4)+1)))</f>
        <v/>
      </c>
      <c r="H38" s="19" t="str">
        <f t="array" ref="H38">IF(X38="","",INDEX('Inventory - P04'!$J$16:$J$27,(INT((X38-1)/4)+1)))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19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P04'!$D$16:$D$27,(INT((X39-1)/4)+1)))</f>
        <v/>
      </c>
      <c r="F39" s="19" t="str">
        <f t="array" ref="F39">IF(X39="","",INDEX('Inventory - P04'!$E$16:$E$27,(INT((X39-1)/4)+1)))</f>
        <v/>
      </c>
      <c r="G39" s="19" t="str">
        <f t="array" ref="G39">IF(X39="","",INDEX('Inventory - P04'!$I$16:$I$27,(INT((X39-1)/4)+1)))</f>
        <v/>
      </c>
      <c r="H39" s="19" t="str">
        <f t="array" ref="H39">IF(X39="","",INDEX('Inventory - P04'!$J$16:$J$27,(INT((X39-1)/4)+1)))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19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P04'!$D$16:$D$27,(INT((X40-1)/4)+1)))</f>
        <v/>
      </c>
      <c r="F40" s="19" t="str">
        <f t="array" ref="F40">IF(X40="","",INDEX('Inventory - P04'!$E$16:$E$27,(INT((X40-1)/4)+1)))</f>
        <v/>
      </c>
      <c r="G40" s="19" t="str">
        <f t="array" ref="G40">IF(X40="","",INDEX('Inventory - P04'!$I$16:$I$27,(INT((X40-1)/4)+1)))</f>
        <v/>
      </c>
      <c r="H40" s="19" t="str">
        <f t="array" ref="H40">IF(X40="","",INDEX('Inventory - P04'!$J$16:$J$27,(INT((X40-1)/4)+1)))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19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P04'!$D$16:$D$27,(INT((X41-1)/4)+1)))</f>
        <v/>
      </c>
      <c r="F41" s="19" t="str">
        <f t="array" ref="F41">IF(X41="","",INDEX('Inventory - P04'!$E$16:$E$27,(INT((X41-1)/4)+1)))</f>
        <v/>
      </c>
      <c r="G41" s="19" t="str">
        <f t="array" ref="G41">IF(X41="","",INDEX('Inventory - P04'!$I$16:$I$27,(INT((X41-1)/4)+1)))</f>
        <v/>
      </c>
      <c r="H41" s="19" t="str">
        <f t="array" ref="H41">IF(X41="","",INDEX('Inventory - P04'!$J$16:$J$27,(INT((X41-1)/4)+1)))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19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P04'!$D$16:$D$27,(INT((X42-1)/4)+1)))</f>
        <v/>
      </c>
      <c r="F42" s="19" t="str">
        <f t="array" ref="F42">IF(X42="","",INDEX('Inventory - P04'!$E$16:$E$27,(INT((X42-1)/4)+1)))</f>
        <v/>
      </c>
      <c r="G42" s="19" t="str">
        <f t="array" ref="G42">IF(X42="","",INDEX('Inventory - P04'!$I$16:$I$27,(INT((X42-1)/4)+1)))</f>
        <v/>
      </c>
      <c r="H42" s="19" t="str">
        <f t="array" ref="H42">IF(X42="","",INDEX('Inventory - P04'!$J$16:$J$27,(INT((X42-1)/4)+1)))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19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P04'!$D$16:$D$27,(INT((X43-1)/4)+1)))</f>
        <v/>
      </c>
      <c r="F43" s="19" t="str">
        <f t="array" ref="F43">IF(X43="","",INDEX('Inventory - P04'!$E$16:$E$27,(INT((X43-1)/4)+1)))</f>
        <v/>
      </c>
      <c r="G43" s="19" t="str">
        <f t="array" ref="G43">IF(X43="","",INDEX('Inventory - P04'!$I$16:$I$27,(INT((X43-1)/4)+1)))</f>
        <v/>
      </c>
      <c r="H43" s="19" t="str">
        <f t="array" ref="H43">IF(X43="","",INDEX('Inventory - P04'!$J$16:$J$27,(INT((X43-1)/4)+1)))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19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P04'!$D$16:$D$27,(INT((X44-1)/4)+1)))</f>
        <v/>
      </c>
      <c r="F44" s="19" t="str">
        <f t="array" ref="F44">IF(X44="","",INDEX('Inventory - P04'!$E$16:$E$27,(INT((X44-1)/4)+1)))</f>
        <v/>
      </c>
      <c r="G44" s="19" t="str">
        <f t="array" ref="G44">IF(X44="","",INDEX('Inventory - P04'!$I$16:$I$27,(INT((X44-1)/4)+1)))</f>
        <v/>
      </c>
      <c r="H44" s="19" t="str">
        <f t="array" ref="H44">IF(X44="","",INDEX('Inventory - P04'!$J$16:$J$27,(INT((X44-1)/4)+1)))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19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P04'!$D$16:$D$27,(INT((X45-1)/4)+1)))</f>
        <v/>
      </c>
      <c r="F45" s="19" t="str">
        <f t="array" ref="F45">IF(X45="","",INDEX('Inventory - P04'!$E$16:$E$27,(INT((X45-1)/4)+1)))</f>
        <v/>
      </c>
      <c r="G45" s="19" t="str">
        <f t="array" ref="G45">IF(X45="","",INDEX('Inventory - P04'!$I$16:$I$27,(INT((X45-1)/4)+1)))</f>
        <v/>
      </c>
      <c r="H45" s="19" t="str">
        <f t="array" ref="H45">IF(X45="","",INDEX('Inventory - P04'!$J$16:$J$27,(INT((X45-1)/4)+1)))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19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P04'!$D$16:$D$27,(INT((X46-1)/4)+1)))</f>
        <v/>
      </c>
      <c r="F46" s="19" t="str">
        <f t="array" ref="F46">IF(X46="","",INDEX('Inventory - P04'!$E$16:$E$27,(INT((X46-1)/4)+1)))</f>
        <v/>
      </c>
      <c r="G46" s="19" t="str">
        <f t="array" ref="G46">IF(X46="","",INDEX('Inventory - P04'!$I$16:$I$27,(INT((X46-1)/4)+1)))</f>
        <v/>
      </c>
      <c r="H46" s="19" t="str">
        <f t="array" ref="H46">IF(X46="","",INDEX('Inventory - P04'!$J$16:$J$27,(INT((X46-1)/4)+1)))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19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P04'!$D$16:$D$27,(INT((X47-1)/4)+1)))</f>
        <v/>
      </c>
      <c r="F47" s="19" t="str">
        <f t="array" ref="F47">IF(X47="","",INDEX('Inventory - P04'!$E$16:$E$27,(INT((X47-1)/4)+1)))</f>
        <v/>
      </c>
      <c r="G47" s="19" t="str">
        <f t="array" ref="G47">IF(X47="","",INDEX('Inventory - P04'!$I$16:$I$27,(INT((X47-1)/4)+1)))</f>
        <v/>
      </c>
      <c r="H47" s="19" t="str">
        <f t="array" ref="H47">IF(X47="","",INDEX('Inventory - P04'!$J$16:$J$27,(INT((X47-1)/4)+1)))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19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P04'!$D$16:$D$27,(INT((X48-1)/4)+1)))</f>
        <v/>
      </c>
      <c r="F48" s="19" t="str">
        <f t="array" ref="F48">IF(X48="","",INDEX('Inventory - P04'!$E$16:$E$27,(INT((X48-1)/4)+1)))</f>
        <v/>
      </c>
      <c r="G48" s="19" t="str">
        <f t="array" ref="G48">IF(X48="","",INDEX('Inventory - P04'!$I$16:$I$27,(INT((X48-1)/4)+1)))</f>
        <v/>
      </c>
      <c r="H48" s="19" t="str">
        <f t="array" ref="H48">IF(X48="","",INDEX('Inventory - P04'!$J$16:$J$27,(INT((X48-1)/4)+1)))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19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P04'!$D$16:$D$27,(INT((X50-1)/4)+1)))</f>
        <v/>
      </c>
      <c r="F50" s="19" t="str">
        <f t="array" ref="F50">IF(X50="","",INDEX('Inventory - P04'!$E$16:$E$27,(INT((X50-1)/4)+1)))</f>
        <v/>
      </c>
      <c r="G50" s="19" t="str">
        <f t="array" ref="G50">IF(X50="","",INDEX('Inventory - P04'!$I$16:$I$27,(INT((X50-1)/4)+1)))</f>
        <v/>
      </c>
      <c r="H50" s="19" t="str">
        <f t="array" ref="H50">IF(X50="","",INDEX('Inventory - P04'!$J$16:$J$27,(INT((X50-1)/4)+1)))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19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P04'!$D$16:$D$27,(INT((X51-1)/4)+1)))</f>
        <v/>
      </c>
      <c r="F51" s="19" t="str">
        <f t="array" ref="F51">IF(X51="","",INDEX('Inventory - P04'!$E$16:$E$27,(INT((X51-1)/4)+1)))</f>
        <v/>
      </c>
      <c r="G51" s="19" t="str">
        <f t="array" ref="G51">IF(X51="","",INDEX('Inventory - P04'!$I$16:$I$27,(INT((X51-1)/4)+1)))</f>
        <v/>
      </c>
      <c r="H51" s="19" t="str">
        <f t="array" ref="H51">IF(X51="","",INDEX('Inventory - P04'!$J$16:$J$27,(INT((X51-1)/4)+1)))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19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P04'!$D$16:$D$27,(INT((X52-1)/4)+1)))</f>
        <v/>
      </c>
      <c r="F52" s="19" t="str">
        <f t="array" ref="F52">IF(X52="","",INDEX('Inventory - P04'!$E$16:$E$27,(INT((X52-1)/4)+1)))</f>
        <v/>
      </c>
      <c r="G52" s="19" t="str">
        <f t="array" ref="G52">IF(X52="","",INDEX('Inventory - P04'!$I$16:$I$27,(INT((X52-1)/4)+1)))</f>
        <v/>
      </c>
      <c r="H52" s="19" t="str">
        <f t="array" ref="H52">IF(X52="","",INDEX('Inventory - P04'!$J$16:$J$27,(INT((X52-1)/4)+1)))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19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P04'!$D$16:$D$27,(INT((X53-1)/4)+1)))</f>
        <v/>
      </c>
      <c r="F53" s="19" t="str">
        <f t="array" ref="F53">IF(X53="","",INDEX('Inventory - P04'!$E$16:$E$27,(INT((X53-1)/4)+1)))</f>
        <v/>
      </c>
      <c r="G53" s="19" t="str">
        <f t="array" ref="G53">IF(X53="","",INDEX('Inventory - P04'!$I$16:$I$27,(INT((X53-1)/4)+1)))</f>
        <v/>
      </c>
      <c r="H53" s="19" t="str">
        <f t="array" ref="H53">IF(X53="","",INDEX('Inventory - P04'!$J$16:$J$27,(INT((X53-1)/4)+1)))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19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P04'!$D$16:$D$27,(INT((X54-1)/4)+1)))</f>
        <v/>
      </c>
      <c r="F54" s="19" t="str">
        <f t="array" ref="F54">IF(X54="","",INDEX('Inventory - P04'!$E$16:$E$27,(INT((X54-1)/4)+1)))</f>
        <v/>
      </c>
      <c r="G54" s="19" t="str">
        <f t="array" ref="G54">IF(X54="","",INDEX('Inventory - P04'!$I$16:$I$27,(INT((X54-1)/4)+1)))</f>
        <v/>
      </c>
      <c r="H54" s="19" t="str">
        <f t="array" ref="H54">IF(X54="","",INDEX('Inventory - P04'!$J$16:$J$27,(INT((X54-1)/4)+1)))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19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P04'!$D$16:$D$27,(INT((X55-1)/4)+1)))</f>
        <v/>
      </c>
      <c r="F55" s="19" t="str">
        <f t="array" ref="F55">IF(X55="","",INDEX('Inventory - P04'!$E$16:$E$27,(INT((X55-1)/4)+1)))</f>
        <v/>
      </c>
      <c r="G55" s="19" t="str">
        <f t="array" ref="G55">IF(X55="","",INDEX('Inventory - P04'!$I$16:$I$27,(INT((X55-1)/4)+1)))</f>
        <v/>
      </c>
      <c r="H55" s="19" t="str">
        <f t="array" ref="H55">IF(X55="","",INDEX('Inventory - P04'!$J$16:$J$27,(INT((X55-1)/4)+1)))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19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P04'!$D$16:$D$27,(INT((X56-1)/4)+1)))</f>
        <v/>
      </c>
      <c r="F56" s="19" t="str">
        <f t="array" ref="F56">IF(X56="","",INDEX('Inventory - P04'!$E$16:$E$27,(INT((X56-1)/4)+1)))</f>
        <v/>
      </c>
      <c r="G56" s="19" t="str">
        <f t="array" ref="G56">IF(X56="","",INDEX('Inventory - P04'!$I$16:$I$27,(INT((X56-1)/4)+1)))</f>
        <v/>
      </c>
      <c r="H56" s="19" t="str">
        <f t="array" ref="H56">IF(X56="","",INDEX('Inventory - P04'!$J$16:$J$27,(INT((X56-1)/4)+1)))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19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P04'!$D$16:$D$27,(INT((X57-1)/4)+1)))</f>
        <v/>
      </c>
      <c r="F57" s="19" t="str">
        <f t="array" ref="F57">IF(X57="","",INDEX('Inventory - P04'!$E$16:$E$27,(INT((X57-1)/4)+1)))</f>
        <v/>
      </c>
      <c r="G57" s="19" t="str">
        <f t="array" ref="G57">IF(X57="","",INDEX('Inventory - P04'!$I$16:$I$27,(INT((X57-1)/4)+1)))</f>
        <v/>
      </c>
      <c r="H57" s="19" t="str">
        <f t="array" ref="H57">IF(X57="","",INDEX('Inventory - P04'!$J$16:$J$27,(INT((X57-1)/4)+1)))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19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P04'!$D$16:$D$27,(INT((X58-1)/4)+1)))</f>
        <v/>
      </c>
      <c r="F58" s="19" t="str">
        <f t="array" ref="F58">IF(X58="","",INDEX('Inventory - P04'!$E$16:$E$27,(INT((X58-1)/4)+1)))</f>
        <v/>
      </c>
      <c r="G58" s="19" t="str">
        <f t="array" ref="G58">IF(X58="","",INDEX('Inventory - P04'!$I$16:$I$27,(INT((X58-1)/4)+1)))</f>
        <v/>
      </c>
      <c r="H58" s="19" t="str">
        <f t="array" ref="H58">IF(X58="","",INDEX('Inventory - P04'!$J$16:$J$27,(INT((X58-1)/4)+1)))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19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P04'!$D$16:$D$27,(INT((X59-1)/4)+1)))</f>
        <v/>
      </c>
      <c r="F59" s="19" t="str">
        <f t="array" ref="F59">IF(X59="","",INDEX('Inventory - P04'!$E$16:$E$27,(INT((X59-1)/4)+1)))</f>
        <v/>
      </c>
      <c r="G59" s="19" t="str">
        <f t="array" ref="G59">IF(X59="","",INDEX('Inventory - P04'!$I$16:$I$27,(INT((X59-1)/4)+1)))</f>
        <v/>
      </c>
      <c r="H59" s="19" t="str">
        <f t="array" ref="H59">IF(X59="","",INDEX('Inventory - P04'!$J$16:$J$27,(INT((X59-1)/4)+1)))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19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P04'!$D$16:$D$27,(INT((X60-1)/4)+1)))</f>
        <v/>
      </c>
      <c r="F60" s="19" t="str">
        <f t="array" ref="F60">IF(X60="","",INDEX('Inventory - P04'!$E$16:$E$27,(INT((X60-1)/4)+1)))</f>
        <v/>
      </c>
      <c r="G60" s="19" t="str">
        <f t="array" ref="G60">IF(X60="","",INDEX('Inventory - P04'!$I$16:$I$27,(INT((X60-1)/4)+1)))</f>
        <v/>
      </c>
      <c r="H60" s="19" t="str">
        <f t="array" ref="H60">IF(X60="","",INDEX('Inventory - P04'!$J$16:$J$27,(INT((X60-1)/4)+1)))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19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P04'!$D$16:$D$27,(INT((X61-1)/4)+1)))</f>
        <v/>
      </c>
      <c r="F61" s="19" t="str">
        <f t="array" ref="F61">IF(X61="","",INDEX('Inventory - P04'!$E$16:$E$27,(INT((X61-1)/4)+1)))</f>
        <v/>
      </c>
      <c r="G61" s="19" t="str">
        <f t="array" ref="G61">IF(X61="","",INDEX('Inventory - P04'!$I$16:$I$27,(INT((X61-1)/4)+1)))</f>
        <v/>
      </c>
      <c r="H61" s="19" t="str">
        <f t="array" ref="H61">IF(X61="","",INDEX('Inventory - P04'!$J$16:$J$27,(INT((X61-1)/4)+1)))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P04'!E16&lt;1,'Inventory - P04'!F16="",'Inventory - P04'!G16=""),9,MOD('Inventory - P04'!F16+0*'Inventory - P04'!G16/24,1))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P04'!E16&lt;2,'Inventory - P04'!F16="",'Inventory - P04'!G16=""),9,MOD('Inventory - P04'!F16+1*'Inventory - P04'!G16/24,1))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P04'!E16&lt;3,'Inventory - P04'!F16="",'Inventory - P04'!G16=""),9,MOD('Inventory - P04'!F16+2*'Inventory - P04'!G16/24,1))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P04'!E16&lt;4,'Inventory - P04'!F16="",'Inventory - P04'!G16=""),9,MOD('Inventory - P04'!F16+3*'Inventory - P04'!G16/24,1))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P04'!E17&lt;1,'Inventory - P04'!F17="",'Inventory - P04'!G17=""),9,MOD('Inventory - P04'!F17+0*'Inventory - P04'!G17/24,1))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P04'!E17&lt;2,'Inventory - P04'!F17="",'Inventory - P04'!G17=""),9,MOD('Inventory - P04'!F17+1*'Inventory - P04'!G17/24,1))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P04'!E17&lt;3,'Inventory - P04'!F17="",'Inventory - P04'!G17=""),9,MOD('Inventory - P04'!F17+2*'Inventory - P04'!G17/24,1))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P04'!E17&lt;4,'Inventory - P04'!F17="",'Inventory - P04'!G17=""),9,MOD('Inventory - P04'!F17+3*'Inventory - P04'!G17/24,1))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P04'!E18&lt;1,'Inventory - P04'!F18="",'Inventory - P04'!G18=""),9,MOD('Inventory - P04'!F18+0*'Inventory - P04'!G18/24,1))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P04'!E18&lt;2,'Inventory - P04'!F18="",'Inventory - P04'!G18=""),9,MOD('Inventory - P04'!F18+1*'Inventory - P04'!G18/24,1))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P04'!E18&lt;3,'Inventory - P04'!F18="",'Inventory - P04'!G18=""),9,MOD('Inventory - P04'!F18+2*'Inventory - P04'!G18/24,1))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P04'!E18&lt;4,'Inventory - P04'!F18="",'Inventory - P04'!G18=""),9,MOD('Inventory - P04'!F18+3*'Inventory - P04'!G18/24,1))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P04'!E19&lt;1,'Inventory - P04'!F19="",'Inventory - P04'!G19=""),9,MOD('Inventory - P04'!F19+0*'Inventory - P04'!G19/24,1))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P04'!E19&lt;2,'Inventory - P04'!F19="",'Inventory - P04'!G19=""),9,MOD('Inventory - P04'!F19+1*'Inventory - P04'!G19/24,1))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P04'!E19&lt;3,'Inventory - P04'!F19="",'Inventory - P04'!G19=""),9,MOD('Inventory - P04'!F19+2*'Inventory - P04'!G19/24,1))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P04'!E19&lt;4,'Inventory - P04'!F19="",'Inventory - P04'!G19=""),9,MOD('Inventory - P04'!F19+3*'Inventory - P04'!G19/24,1))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P04'!E20&lt;1,'Inventory - P04'!F20="",'Inventory - P04'!G20=""),9,MOD('Inventory - P04'!F20+0*'Inventory - P04'!G20/24,1))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P04'!E20&lt;2,'Inventory - P04'!F20="",'Inventory - P04'!G20=""),9,MOD('Inventory - P04'!F20+1*'Inventory - P04'!G20/24,1))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P04'!E20&lt;3,'Inventory - P04'!F20="",'Inventory - P04'!G20=""),9,MOD('Inventory - P04'!F20+2*'Inventory - P04'!G20/24,1))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P04'!E20&lt;4,'Inventory - P04'!F20="",'Inventory - P04'!G20=""),9,MOD('Inventory - P04'!F20+3*'Inventory - P04'!G20/24,1))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P04'!E21&lt;1,'Inventory - P04'!F21="",'Inventory - P04'!G21=""),9,MOD('Inventory - P04'!F21+0*'Inventory - P04'!G21/24,1))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P04'!E21&lt;2,'Inventory - P04'!F21="",'Inventory - P04'!G21=""),9,MOD('Inventory - P04'!F21+1*'Inventory - P04'!G21/24,1))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P04'!E21&lt;3,'Inventory - P04'!F21="",'Inventory - P04'!G21=""),9,MOD('Inventory - P04'!F21+2*'Inventory - P04'!G21/24,1))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P04'!E21&lt;4,'Inventory - P04'!F21="",'Inventory - P04'!G21=""),9,MOD('Inventory - P04'!F21+3*'Inventory - P04'!G21/24,1))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P04'!E22&lt;1,'Inventory - P04'!F22="",'Inventory - P04'!G22=""),9,MOD('Inventory - P04'!F22+0*'Inventory - P04'!G22/24,1))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P04'!E22&lt;2,'Inventory - P04'!F22="",'Inventory - P04'!G22=""),9,MOD('Inventory - P04'!F22+1*'Inventory - P04'!G22/24,1))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P04'!E22&lt;3,'Inventory - P04'!F22="",'Inventory - P04'!G22=""),9,MOD('Inventory - P04'!F22+2*'Inventory - P04'!G22/24,1))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P04'!E22&lt;4,'Inventory - P04'!F22="",'Inventory - P04'!G22=""),9,MOD('Inventory - P04'!F22+3*'Inventory - P04'!G22/24,1))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P04'!E23&lt;1,'Inventory - P04'!F23="",'Inventory - P04'!G23=""),9,MOD('Inventory - P04'!F23+0*'Inventory - P04'!G23/24,1))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P04'!E23&lt;2,'Inventory - P04'!F23="",'Inventory - P04'!G23=""),9,MOD('Inventory - P04'!F23+1*'Inventory - P04'!G23/24,1))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P04'!E23&lt;3,'Inventory - P04'!F23="",'Inventory - P04'!G23=""),9,MOD('Inventory - P04'!F23+2*'Inventory - P04'!G23/24,1))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P04'!E23&lt;4,'Inventory - P04'!F23="",'Inventory - P04'!G23=""),9,MOD('Inventory - P04'!F23+3*'Inventory - P04'!G23/24,1))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P04'!E24&lt;1,'Inventory - P04'!F24="",'Inventory - P04'!G24=""),9,MOD('Inventory - P04'!F24+0*'Inventory - P04'!G24/24,1))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P04'!E24&lt;2,'Inventory - P04'!F24="",'Inventory - P04'!G24=""),9,MOD('Inventory - P04'!F24+1*'Inventory - P04'!G24/24,1))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P04'!E24&lt;3,'Inventory - P04'!F24="",'Inventory - P04'!G24=""),9,MOD('Inventory - P04'!F24+2*'Inventory - P04'!G24/24,1))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P04'!E24&lt;4,'Inventory - P04'!F24="",'Inventory - P04'!G24=""),9,MOD('Inventory - P04'!F24+3*'Inventory - P04'!G24/24,1))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P04'!E25&lt;1,'Inventory - P04'!F25="",'Inventory - P04'!G25=""),9,MOD('Inventory - P04'!F25+0*'Inventory - P04'!G25/24,1))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P04'!E25&lt;2,'Inventory - P04'!F25="",'Inventory - P04'!G25=""),9,MOD('Inventory - P04'!F25+1*'Inventory - P04'!G25/24,1))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P04'!E25&lt;3,'Inventory - P04'!F25="",'Inventory - P04'!G25=""),9,MOD('Inventory - P04'!F25+2*'Inventory - P04'!G25/24,1))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P04'!E25&lt;4,'Inventory - P04'!F25="",'Inventory - P04'!G25=""),9,MOD('Inventory - P04'!F25+3*'Inventory - P04'!G25/24,1))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P04'!E26&lt;1,'Inventory - P04'!F26="",'Inventory - P04'!G26=""),9,MOD('Inventory - P04'!F26+0*'Inventory - P04'!G26/24,1))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P04'!E26&lt;2,'Inventory - P04'!F26="",'Inventory - P04'!G26=""),9,MOD('Inventory - P04'!F26+1*'Inventory - P04'!G26/24,1))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P04'!E26&lt;3,'Inventory - P04'!F26="",'Inventory - P04'!G26=""),9,MOD('Inventory - P04'!F26+2*'Inventory - P04'!G26/24,1))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P04'!E26&lt;4,'Inventory - P04'!F26="",'Inventory - P04'!G26=""),9,MOD('Inventory - P04'!F26+3*'Inventory - P04'!G26/24,1))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P04'!E27&lt;1,'Inventory - P04'!F27="",'Inventory - P04'!G27=""),9,MOD('Inventory - P04'!F27+0*'Inventory - P04'!G27/24,1))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P04'!E27&lt;2,'Inventory - P04'!F27="",'Inventory - P04'!G27=""),9,MOD('Inventory - P04'!F27+1*'Inventory - P04'!G27/24,1))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P04'!E27&lt;3,'Inventory - P04'!F27="",'Inventory - P04'!G27=""),9,MOD('Inventory - P04'!F27+2*'Inventory - P04'!G27/24,1))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P04'!E27&lt;4,'Inventory - P04'!F27="",'Inventory - P04'!G27=""),9,MOD('Inventory - P04'!F27+3*'Inventory - P04'!G27/24,1))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Tracker'!S9="","","INV-"&amp;SUBSTITUTE('Client Needs Tracker'!S9," ",""))</f>
        <v>INV-M-3A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Tracker'!B9="","(Add client on Client Needs Tracker, row 9)",'Client Needs Tracker'!B9)</f>
        <v>(Add client on Client Needs Tracker, row 9)</v>
      </c>
      <c r="B6" s="104"/>
      <c r="C6" s="104"/>
      <c r="D6" s="104"/>
      <c r="E6" s="104"/>
      <c r="F6" s="105" t="str">
        <f>'Client Needs Tracker'!A9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Tracker'!C9="","",'Client Needs Tracker'!C9)</f>
        <v/>
      </c>
      <c r="B8" s="104"/>
      <c r="C8" s="104"/>
      <c r="D8" s="104"/>
      <c r="E8" s="104"/>
      <c r="F8" s="108" t="str">
        <f>'Client Needs Tracker'!E9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Tracker'!F9="","",'Client Needs Tracker'!F9)</f>
        <v/>
      </c>
      <c r="B10" s="104"/>
      <c r="C10" s="104"/>
      <c r="D10" s="104"/>
      <c r="E10" s="104"/>
      <c r="F10" s="110" t="str">
        <f>IF('Client Status Board'!G9="","",'Client Status Board'!G9)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Board'!L9="","",'Client Status Board'!L9)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ht="15.0" customHeight="1">
      <c r="A3" s="130" t="str">
        <f>IF('Inventory - P05'!A6="","(Enter name in Inventory - P05)",'Inventory - P05'!A6)</f>
        <v>(Add client on Client Needs Tracker, row 9)</v>
      </c>
      <c r="B3" s="131"/>
      <c r="C3" s="131"/>
      <c r="D3" s="131"/>
      <c r="E3" s="131"/>
      <c r="F3" s="132" t="str">
        <f>IF('Inventory - P05'!F6="","(Enter ID in Inventory - P05)","Member ID: "&amp;'Inventory - P05'!F6)</f>
        <v>(Enter ID in Inventory - P05)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Tracker'!S9="","","INV-"&amp;SUBSTITUTE('Client Needs Tracker'!S9," ",""))</f>
        <v>INV-M-3A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P05'!F8="","-",'Inventory - P05'!F8)</f>
        <v>LOC: -</v>
      </c>
      <c r="C5" s="3"/>
      <c r="D5" s="134" t="str">
        <f>"Case Manager: "&amp;IF('Inventory - P05'!A10="","-",'Inventory - P05'!A10)</f>
        <v>Case Manager: -</v>
      </c>
      <c r="F5" s="3"/>
      <c r="G5" s="134" t="str">
        <f>"Doctor: "&amp;IF('Inventory - P05'!F10="","-",'Inventory - P05'!F10)</f>
        <v>Doctor: -</v>
      </c>
      <c r="I5" s="3"/>
      <c r="J5" s="134" t="str">
        <f>"Pharmacy: "&amp;IF('Inventory - P05'!A12="","-",'Inventory - P05'!A12)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P05'!A14="","",'Inventory - P05'!A14)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P05'!A14="","",'Inventory - P05'!A14+0)</f>
        <v/>
      </c>
      <c r="J8" s="139"/>
      <c r="K8" s="138" t="str">
        <f>IF('Inventory - P05'!A14="","",'Inventory - P05'!A14+1)</f>
        <v/>
      </c>
      <c r="L8" s="139"/>
      <c r="M8" s="138" t="str">
        <f>IF('Inventory - P05'!A14="","",'Inventory - P05'!A14+2)</f>
        <v/>
      </c>
      <c r="N8" s="139"/>
      <c r="O8" s="138" t="str">
        <f>IF('Inventory - P05'!A14="","",'Inventory - P05'!A14+3)</f>
        <v/>
      </c>
      <c r="P8" s="139"/>
      <c r="Q8" s="138" t="str">
        <f>IF('Inventory - P05'!A14="","",'Inventory - P05'!A14+4)</f>
        <v/>
      </c>
      <c r="R8" s="139"/>
      <c r="S8" s="138" t="str">
        <f>IF('Inventory - P05'!A14="","",'Inventory - P05'!A14+5)</f>
        <v/>
      </c>
      <c r="T8" s="139"/>
      <c r="U8" s="138" t="str">
        <f>IF('Inventory - P05'!A14="","",'Inventory - P05'!A14+6)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19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P05'!$D$16:$D$27,(INT((X11-1)/4)+1)))</f>
        <v/>
      </c>
      <c r="F11" s="19" t="str">
        <f t="array" ref="F11">IF(X11="","",INDEX('Inventory - P05'!$E$16:$E$27,(INT((X11-1)/4)+1)))</f>
        <v/>
      </c>
      <c r="G11" s="19" t="str">
        <f t="array" ref="G11">IF(X11="","",INDEX('Inventory - P05'!$I$16:$I$27,(INT((X11-1)/4)+1)))</f>
        <v/>
      </c>
      <c r="H11" s="19" t="str">
        <f t="array" ref="H11">IF(X11="","",INDEX('Inventory - P05'!$J$16:$J$27,(INT((X11-1)/4)+1)))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19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P05'!$D$16:$D$27,(INT((X12-1)/4)+1)))</f>
        <v/>
      </c>
      <c r="F12" s="19" t="str">
        <f t="array" ref="F12">IF(X12="","",INDEX('Inventory - P05'!$E$16:$E$27,(INT((X12-1)/4)+1)))</f>
        <v/>
      </c>
      <c r="G12" s="19" t="str">
        <f t="array" ref="G12">IF(X12="","",INDEX('Inventory - P05'!$I$16:$I$27,(INT((X12-1)/4)+1)))</f>
        <v/>
      </c>
      <c r="H12" s="19" t="str">
        <f t="array" ref="H12">IF(X12="","",INDEX('Inventory - P05'!$J$16:$J$27,(INT((X12-1)/4)+1)))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19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P05'!$D$16:$D$27,(INT((X13-1)/4)+1)))</f>
        <v/>
      </c>
      <c r="F13" s="19" t="str">
        <f t="array" ref="F13">IF(X13="","",INDEX('Inventory - P05'!$E$16:$E$27,(INT((X13-1)/4)+1)))</f>
        <v/>
      </c>
      <c r="G13" s="19" t="str">
        <f t="array" ref="G13">IF(X13="","",INDEX('Inventory - P05'!$I$16:$I$27,(INT((X13-1)/4)+1)))</f>
        <v/>
      </c>
      <c r="H13" s="19" t="str">
        <f t="array" ref="H13">IF(X13="","",INDEX('Inventory - P05'!$J$16:$J$27,(INT((X13-1)/4)+1)))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19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P05'!$D$16:$D$27,(INT((X14-1)/4)+1)))</f>
        <v/>
      </c>
      <c r="F14" s="19" t="str">
        <f t="array" ref="F14">IF(X14="","",INDEX('Inventory - P05'!$E$16:$E$27,(INT((X14-1)/4)+1)))</f>
        <v/>
      </c>
      <c r="G14" s="19" t="str">
        <f t="array" ref="G14">IF(X14="","",INDEX('Inventory - P05'!$I$16:$I$27,(INT((X14-1)/4)+1)))</f>
        <v/>
      </c>
      <c r="H14" s="19" t="str">
        <f t="array" ref="H14">IF(X14="","",INDEX('Inventory - P05'!$J$16:$J$27,(INT((X14-1)/4)+1)))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19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P05'!$D$16:$D$27,(INT((X15-1)/4)+1)))</f>
        <v/>
      </c>
      <c r="F15" s="19" t="str">
        <f t="array" ref="F15">IF(X15="","",INDEX('Inventory - P05'!$E$16:$E$27,(INT((X15-1)/4)+1)))</f>
        <v/>
      </c>
      <c r="G15" s="19" t="str">
        <f t="array" ref="G15">IF(X15="","",INDEX('Inventory - P05'!$I$16:$I$27,(INT((X15-1)/4)+1)))</f>
        <v/>
      </c>
      <c r="H15" s="19" t="str">
        <f t="array" ref="H15">IF(X15="","",INDEX('Inventory - P05'!$J$16:$J$27,(INT((X15-1)/4)+1)))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19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P05'!$D$16:$D$27,(INT((X16-1)/4)+1)))</f>
        <v/>
      </c>
      <c r="F16" s="19" t="str">
        <f t="array" ref="F16">IF(X16="","",INDEX('Inventory - P05'!$E$16:$E$27,(INT((X16-1)/4)+1)))</f>
        <v/>
      </c>
      <c r="G16" s="19" t="str">
        <f t="array" ref="G16">IF(X16="","",INDEX('Inventory - P05'!$I$16:$I$27,(INT((X16-1)/4)+1)))</f>
        <v/>
      </c>
      <c r="H16" s="19" t="str">
        <f t="array" ref="H16">IF(X16="","",INDEX('Inventory - P05'!$J$16:$J$27,(INT((X16-1)/4)+1)))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19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P05'!$D$16:$D$27,(INT((X17-1)/4)+1)))</f>
        <v/>
      </c>
      <c r="F17" s="19" t="str">
        <f t="array" ref="F17">IF(X17="","",INDEX('Inventory - P05'!$E$16:$E$27,(INT((X17-1)/4)+1)))</f>
        <v/>
      </c>
      <c r="G17" s="19" t="str">
        <f t="array" ref="G17">IF(X17="","",INDEX('Inventory - P05'!$I$16:$I$27,(INT((X17-1)/4)+1)))</f>
        <v/>
      </c>
      <c r="H17" s="19" t="str">
        <f t="array" ref="H17">IF(X17="","",INDEX('Inventory - P05'!$J$16:$J$27,(INT((X17-1)/4)+1)))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19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P05'!$D$16:$D$27,(INT((X18-1)/4)+1)))</f>
        <v/>
      </c>
      <c r="F18" s="19" t="str">
        <f t="array" ref="F18">IF(X18="","",INDEX('Inventory - P05'!$E$16:$E$27,(INT((X18-1)/4)+1)))</f>
        <v/>
      </c>
      <c r="G18" s="19" t="str">
        <f t="array" ref="G18">IF(X18="","",INDEX('Inventory - P05'!$I$16:$I$27,(INT((X18-1)/4)+1)))</f>
        <v/>
      </c>
      <c r="H18" s="19" t="str">
        <f t="array" ref="H18">IF(X18="","",INDEX('Inventory - P05'!$J$16:$J$27,(INT((X18-1)/4)+1)))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19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P05'!$D$16:$D$27,(INT((X19-1)/4)+1)))</f>
        <v/>
      </c>
      <c r="F19" s="19" t="str">
        <f t="array" ref="F19">IF(X19="","",INDEX('Inventory - P05'!$E$16:$E$27,(INT((X19-1)/4)+1)))</f>
        <v/>
      </c>
      <c r="G19" s="19" t="str">
        <f t="array" ref="G19">IF(X19="","",INDEX('Inventory - P05'!$I$16:$I$27,(INT((X19-1)/4)+1)))</f>
        <v/>
      </c>
      <c r="H19" s="19" t="str">
        <f t="array" ref="H19">IF(X19="","",INDEX('Inventory - P05'!$J$16:$J$27,(INT((X19-1)/4)+1)))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19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P05'!$D$16:$D$27,(INT((X20-1)/4)+1)))</f>
        <v/>
      </c>
      <c r="F20" s="19" t="str">
        <f t="array" ref="F20">IF(X20="","",INDEX('Inventory - P05'!$E$16:$E$27,(INT((X20-1)/4)+1)))</f>
        <v/>
      </c>
      <c r="G20" s="19" t="str">
        <f t="array" ref="G20">IF(X20="","",INDEX('Inventory - P05'!$I$16:$I$27,(INT((X20-1)/4)+1)))</f>
        <v/>
      </c>
      <c r="H20" s="19" t="str">
        <f t="array" ref="H20">IF(X20="","",INDEX('Inventory - P05'!$J$16:$J$27,(INT((X20-1)/4)+1)))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19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P05'!$D$16:$D$27,(INT((X21-1)/4)+1)))</f>
        <v/>
      </c>
      <c r="F21" s="19" t="str">
        <f t="array" ref="F21">IF(X21="","",INDEX('Inventory - P05'!$E$16:$E$27,(INT((X21-1)/4)+1)))</f>
        <v/>
      </c>
      <c r="G21" s="19" t="str">
        <f t="array" ref="G21">IF(X21="","",INDEX('Inventory - P05'!$I$16:$I$27,(INT((X21-1)/4)+1)))</f>
        <v/>
      </c>
      <c r="H21" s="19" t="str">
        <f t="array" ref="H21">IF(X21="","",INDEX('Inventory - P05'!$J$16:$J$27,(INT((X21-1)/4)+1)))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19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P05'!$D$16:$D$27,(INT((X22-1)/4)+1)))</f>
        <v/>
      </c>
      <c r="F22" s="19" t="str">
        <f t="array" ref="F22">IF(X22="","",INDEX('Inventory - P05'!$E$16:$E$27,(INT((X22-1)/4)+1)))</f>
        <v/>
      </c>
      <c r="G22" s="19" t="str">
        <f t="array" ref="G22">IF(X22="","",INDEX('Inventory - P05'!$I$16:$I$27,(INT((X22-1)/4)+1)))</f>
        <v/>
      </c>
      <c r="H22" s="19" t="str">
        <f t="array" ref="H22">IF(X22="","",INDEX('Inventory - P05'!$J$16:$J$27,(INT((X22-1)/4)+1)))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19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P05'!$D$16:$D$27,(INT((X24-1)/4)+1)))</f>
        <v/>
      </c>
      <c r="F24" s="19" t="str">
        <f t="array" ref="F24">IF(X24="","",INDEX('Inventory - P05'!$E$16:$E$27,(INT((X24-1)/4)+1)))</f>
        <v/>
      </c>
      <c r="G24" s="19" t="str">
        <f t="array" ref="G24">IF(X24="","",INDEX('Inventory - P05'!$I$16:$I$27,(INT((X24-1)/4)+1)))</f>
        <v/>
      </c>
      <c r="H24" s="19" t="str">
        <f t="array" ref="H24">IF(X24="","",INDEX('Inventory - P05'!$J$16:$J$27,(INT((X24-1)/4)+1)))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19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P05'!$D$16:$D$27,(INT((X25-1)/4)+1)))</f>
        <v/>
      </c>
      <c r="F25" s="19" t="str">
        <f t="array" ref="F25">IF(X25="","",INDEX('Inventory - P05'!$E$16:$E$27,(INT((X25-1)/4)+1)))</f>
        <v/>
      </c>
      <c r="G25" s="19" t="str">
        <f t="array" ref="G25">IF(X25="","",INDEX('Inventory - P05'!$I$16:$I$27,(INT((X25-1)/4)+1)))</f>
        <v/>
      </c>
      <c r="H25" s="19" t="str">
        <f t="array" ref="H25">IF(X25="","",INDEX('Inventory - P05'!$J$16:$J$27,(INT((X25-1)/4)+1)))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19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P05'!$D$16:$D$27,(INT((X26-1)/4)+1)))</f>
        <v/>
      </c>
      <c r="F26" s="19" t="str">
        <f t="array" ref="F26">IF(X26="","",INDEX('Inventory - P05'!$E$16:$E$27,(INT((X26-1)/4)+1)))</f>
        <v/>
      </c>
      <c r="G26" s="19" t="str">
        <f t="array" ref="G26">IF(X26="","",INDEX('Inventory - P05'!$I$16:$I$27,(INT((X26-1)/4)+1)))</f>
        <v/>
      </c>
      <c r="H26" s="19" t="str">
        <f t="array" ref="H26">IF(X26="","",INDEX('Inventory - P05'!$J$16:$J$27,(INT((X26-1)/4)+1)))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19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P05'!$D$16:$D$27,(INT((X27-1)/4)+1)))</f>
        <v/>
      </c>
      <c r="F27" s="19" t="str">
        <f t="array" ref="F27">IF(X27="","",INDEX('Inventory - P05'!$E$16:$E$27,(INT((X27-1)/4)+1)))</f>
        <v/>
      </c>
      <c r="G27" s="19" t="str">
        <f t="array" ref="G27">IF(X27="","",INDEX('Inventory - P05'!$I$16:$I$27,(INT((X27-1)/4)+1)))</f>
        <v/>
      </c>
      <c r="H27" s="19" t="str">
        <f t="array" ref="H27">IF(X27="","",INDEX('Inventory - P05'!$J$16:$J$27,(INT((X27-1)/4)+1)))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19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P05'!$D$16:$D$27,(INT((X28-1)/4)+1)))</f>
        <v/>
      </c>
      <c r="F28" s="19" t="str">
        <f t="array" ref="F28">IF(X28="","",INDEX('Inventory - P05'!$E$16:$E$27,(INT((X28-1)/4)+1)))</f>
        <v/>
      </c>
      <c r="G28" s="19" t="str">
        <f t="array" ref="G28">IF(X28="","",INDEX('Inventory - P05'!$I$16:$I$27,(INT((X28-1)/4)+1)))</f>
        <v/>
      </c>
      <c r="H28" s="19" t="str">
        <f t="array" ref="H28">IF(X28="","",INDEX('Inventory - P05'!$J$16:$J$27,(INT((X28-1)/4)+1)))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19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P05'!$D$16:$D$27,(INT((X29-1)/4)+1)))</f>
        <v/>
      </c>
      <c r="F29" s="19" t="str">
        <f t="array" ref="F29">IF(X29="","",INDEX('Inventory - P05'!$E$16:$E$27,(INT((X29-1)/4)+1)))</f>
        <v/>
      </c>
      <c r="G29" s="19" t="str">
        <f t="array" ref="G29">IF(X29="","",INDEX('Inventory - P05'!$I$16:$I$27,(INT((X29-1)/4)+1)))</f>
        <v/>
      </c>
      <c r="H29" s="19" t="str">
        <f t="array" ref="H29">IF(X29="","",INDEX('Inventory - P05'!$J$16:$J$27,(INT((X29-1)/4)+1)))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19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P05'!$D$16:$D$27,(INT((X30-1)/4)+1)))</f>
        <v/>
      </c>
      <c r="F30" s="19" t="str">
        <f t="array" ref="F30">IF(X30="","",INDEX('Inventory - P05'!$E$16:$E$27,(INT((X30-1)/4)+1)))</f>
        <v/>
      </c>
      <c r="G30" s="19" t="str">
        <f t="array" ref="G30">IF(X30="","",INDEX('Inventory - P05'!$I$16:$I$27,(INT((X30-1)/4)+1)))</f>
        <v/>
      </c>
      <c r="H30" s="19" t="str">
        <f t="array" ref="H30">IF(X30="","",INDEX('Inventory - P05'!$J$16:$J$27,(INT((X30-1)/4)+1)))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19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P05'!$D$16:$D$27,(INT((X31-1)/4)+1)))</f>
        <v/>
      </c>
      <c r="F31" s="19" t="str">
        <f t="array" ref="F31">IF(X31="","",INDEX('Inventory - P05'!$E$16:$E$27,(INT((X31-1)/4)+1)))</f>
        <v/>
      </c>
      <c r="G31" s="19" t="str">
        <f t="array" ref="G31">IF(X31="","",INDEX('Inventory - P05'!$I$16:$I$27,(INT((X31-1)/4)+1)))</f>
        <v/>
      </c>
      <c r="H31" s="19" t="str">
        <f t="array" ref="H31">IF(X31="","",INDEX('Inventory - P05'!$J$16:$J$27,(INT((X31-1)/4)+1)))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19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P05'!$D$16:$D$27,(INT((X32-1)/4)+1)))</f>
        <v/>
      </c>
      <c r="F32" s="19" t="str">
        <f t="array" ref="F32">IF(X32="","",INDEX('Inventory - P05'!$E$16:$E$27,(INT((X32-1)/4)+1)))</f>
        <v/>
      </c>
      <c r="G32" s="19" t="str">
        <f t="array" ref="G32">IF(X32="","",INDEX('Inventory - P05'!$I$16:$I$27,(INT((X32-1)/4)+1)))</f>
        <v/>
      </c>
      <c r="H32" s="19" t="str">
        <f t="array" ref="H32">IF(X32="","",INDEX('Inventory - P05'!$J$16:$J$27,(INT((X32-1)/4)+1)))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19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P05'!$D$16:$D$27,(INT((X33-1)/4)+1)))</f>
        <v/>
      </c>
      <c r="F33" s="19" t="str">
        <f t="array" ref="F33">IF(X33="","",INDEX('Inventory - P05'!$E$16:$E$27,(INT((X33-1)/4)+1)))</f>
        <v/>
      </c>
      <c r="G33" s="19" t="str">
        <f t="array" ref="G33">IF(X33="","",INDEX('Inventory - P05'!$I$16:$I$27,(INT((X33-1)/4)+1)))</f>
        <v/>
      </c>
      <c r="H33" s="19" t="str">
        <f t="array" ref="H33">IF(X33="","",INDEX('Inventory - P05'!$J$16:$J$27,(INT((X33-1)/4)+1)))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19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P05'!$D$16:$D$27,(INT((X34-1)/4)+1)))</f>
        <v/>
      </c>
      <c r="F34" s="19" t="str">
        <f t="array" ref="F34">IF(X34="","",INDEX('Inventory - P05'!$E$16:$E$27,(INT((X34-1)/4)+1)))</f>
        <v/>
      </c>
      <c r="G34" s="19" t="str">
        <f t="array" ref="G34">IF(X34="","",INDEX('Inventory - P05'!$I$16:$I$27,(INT((X34-1)/4)+1)))</f>
        <v/>
      </c>
      <c r="H34" s="19" t="str">
        <f t="array" ref="H34">IF(X34="","",INDEX('Inventory - P05'!$J$16:$J$27,(INT((X34-1)/4)+1)))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19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P05'!$D$16:$D$27,(INT((X35-1)/4)+1)))</f>
        <v/>
      </c>
      <c r="F35" s="19" t="str">
        <f t="array" ref="F35">IF(X35="","",INDEX('Inventory - P05'!$E$16:$E$27,(INT((X35-1)/4)+1)))</f>
        <v/>
      </c>
      <c r="G35" s="19" t="str">
        <f t="array" ref="G35">IF(X35="","",INDEX('Inventory - P05'!$I$16:$I$27,(INT((X35-1)/4)+1)))</f>
        <v/>
      </c>
      <c r="H35" s="19" t="str">
        <f t="array" ref="H35">IF(X35="","",INDEX('Inventory - P05'!$J$16:$J$27,(INT((X35-1)/4)+1)))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19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P05'!$D$16:$D$27,(INT((X37-1)/4)+1)))</f>
        <v/>
      </c>
      <c r="F37" s="19" t="str">
        <f t="array" ref="F37">IF(X37="","",INDEX('Inventory - P05'!$E$16:$E$27,(INT((X37-1)/4)+1)))</f>
        <v/>
      </c>
      <c r="G37" s="19" t="str">
        <f t="array" ref="G37">IF(X37="","",INDEX('Inventory - P05'!$I$16:$I$27,(INT((X37-1)/4)+1)))</f>
        <v/>
      </c>
      <c r="H37" s="19" t="str">
        <f t="array" ref="H37">IF(X37="","",INDEX('Inventory - P05'!$J$16:$J$27,(INT((X37-1)/4)+1)))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19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P05'!$D$16:$D$27,(INT((X38-1)/4)+1)))</f>
        <v/>
      </c>
      <c r="F38" s="19" t="str">
        <f t="array" ref="F38">IF(X38="","",INDEX('Inventory - P05'!$E$16:$E$27,(INT((X38-1)/4)+1)))</f>
        <v/>
      </c>
      <c r="G38" s="19" t="str">
        <f t="array" ref="G38">IF(X38="","",INDEX('Inventory - P05'!$I$16:$I$27,(INT((X38-1)/4)+1)))</f>
        <v/>
      </c>
      <c r="H38" s="19" t="str">
        <f t="array" ref="H38">IF(X38="","",INDEX('Inventory - P05'!$J$16:$J$27,(INT((X38-1)/4)+1)))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19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P05'!$D$16:$D$27,(INT((X39-1)/4)+1)))</f>
        <v/>
      </c>
      <c r="F39" s="19" t="str">
        <f t="array" ref="F39">IF(X39="","",INDEX('Inventory - P05'!$E$16:$E$27,(INT((X39-1)/4)+1)))</f>
        <v/>
      </c>
      <c r="G39" s="19" t="str">
        <f t="array" ref="G39">IF(X39="","",INDEX('Inventory - P05'!$I$16:$I$27,(INT((X39-1)/4)+1)))</f>
        <v/>
      </c>
      <c r="H39" s="19" t="str">
        <f t="array" ref="H39">IF(X39="","",INDEX('Inventory - P05'!$J$16:$J$27,(INT((X39-1)/4)+1)))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19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P05'!$D$16:$D$27,(INT((X40-1)/4)+1)))</f>
        <v/>
      </c>
      <c r="F40" s="19" t="str">
        <f t="array" ref="F40">IF(X40="","",INDEX('Inventory - P05'!$E$16:$E$27,(INT((X40-1)/4)+1)))</f>
        <v/>
      </c>
      <c r="G40" s="19" t="str">
        <f t="array" ref="G40">IF(X40="","",INDEX('Inventory - P05'!$I$16:$I$27,(INT((X40-1)/4)+1)))</f>
        <v/>
      </c>
      <c r="H40" s="19" t="str">
        <f t="array" ref="H40">IF(X40="","",INDEX('Inventory - P05'!$J$16:$J$27,(INT((X40-1)/4)+1)))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19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P05'!$D$16:$D$27,(INT((X41-1)/4)+1)))</f>
        <v/>
      </c>
      <c r="F41" s="19" t="str">
        <f t="array" ref="F41">IF(X41="","",INDEX('Inventory - P05'!$E$16:$E$27,(INT((X41-1)/4)+1)))</f>
        <v/>
      </c>
      <c r="G41" s="19" t="str">
        <f t="array" ref="G41">IF(X41="","",INDEX('Inventory - P05'!$I$16:$I$27,(INT((X41-1)/4)+1)))</f>
        <v/>
      </c>
      <c r="H41" s="19" t="str">
        <f t="array" ref="H41">IF(X41="","",INDEX('Inventory - P05'!$J$16:$J$27,(INT((X41-1)/4)+1)))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19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P05'!$D$16:$D$27,(INT((X42-1)/4)+1)))</f>
        <v/>
      </c>
      <c r="F42" s="19" t="str">
        <f t="array" ref="F42">IF(X42="","",INDEX('Inventory - P05'!$E$16:$E$27,(INT((X42-1)/4)+1)))</f>
        <v/>
      </c>
      <c r="G42" s="19" t="str">
        <f t="array" ref="G42">IF(X42="","",INDEX('Inventory - P05'!$I$16:$I$27,(INT((X42-1)/4)+1)))</f>
        <v/>
      </c>
      <c r="H42" s="19" t="str">
        <f t="array" ref="H42">IF(X42="","",INDEX('Inventory - P05'!$J$16:$J$27,(INT((X42-1)/4)+1)))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19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P05'!$D$16:$D$27,(INT((X43-1)/4)+1)))</f>
        <v/>
      </c>
      <c r="F43" s="19" t="str">
        <f t="array" ref="F43">IF(X43="","",INDEX('Inventory - P05'!$E$16:$E$27,(INT((X43-1)/4)+1)))</f>
        <v/>
      </c>
      <c r="G43" s="19" t="str">
        <f t="array" ref="G43">IF(X43="","",INDEX('Inventory - P05'!$I$16:$I$27,(INT((X43-1)/4)+1)))</f>
        <v/>
      </c>
      <c r="H43" s="19" t="str">
        <f t="array" ref="H43">IF(X43="","",INDEX('Inventory - P05'!$J$16:$J$27,(INT((X43-1)/4)+1)))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19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P05'!$D$16:$D$27,(INT((X44-1)/4)+1)))</f>
        <v/>
      </c>
      <c r="F44" s="19" t="str">
        <f t="array" ref="F44">IF(X44="","",INDEX('Inventory - P05'!$E$16:$E$27,(INT((X44-1)/4)+1)))</f>
        <v/>
      </c>
      <c r="G44" s="19" t="str">
        <f t="array" ref="G44">IF(X44="","",INDEX('Inventory - P05'!$I$16:$I$27,(INT((X44-1)/4)+1)))</f>
        <v/>
      </c>
      <c r="H44" s="19" t="str">
        <f t="array" ref="H44">IF(X44="","",INDEX('Inventory - P05'!$J$16:$J$27,(INT((X44-1)/4)+1)))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19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P05'!$D$16:$D$27,(INT((X45-1)/4)+1)))</f>
        <v/>
      </c>
      <c r="F45" s="19" t="str">
        <f t="array" ref="F45">IF(X45="","",INDEX('Inventory - P05'!$E$16:$E$27,(INT((X45-1)/4)+1)))</f>
        <v/>
      </c>
      <c r="G45" s="19" t="str">
        <f t="array" ref="G45">IF(X45="","",INDEX('Inventory - P05'!$I$16:$I$27,(INT((X45-1)/4)+1)))</f>
        <v/>
      </c>
      <c r="H45" s="19" t="str">
        <f t="array" ref="H45">IF(X45="","",INDEX('Inventory - P05'!$J$16:$J$27,(INT((X45-1)/4)+1)))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19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P05'!$D$16:$D$27,(INT((X46-1)/4)+1)))</f>
        <v/>
      </c>
      <c r="F46" s="19" t="str">
        <f t="array" ref="F46">IF(X46="","",INDEX('Inventory - P05'!$E$16:$E$27,(INT((X46-1)/4)+1)))</f>
        <v/>
      </c>
      <c r="G46" s="19" t="str">
        <f t="array" ref="G46">IF(X46="","",INDEX('Inventory - P05'!$I$16:$I$27,(INT((X46-1)/4)+1)))</f>
        <v/>
      </c>
      <c r="H46" s="19" t="str">
        <f t="array" ref="H46">IF(X46="","",INDEX('Inventory - P05'!$J$16:$J$27,(INT((X46-1)/4)+1)))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19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P05'!$D$16:$D$27,(INT((X47-1)/4)+1)))</f>
        <v/>
      </c>
      <c r="F47" s="19" t="str">
        <f t="array" ref="F47">IF(X47="","",INDEX('Inventory - P05'!$E$16:$E$27,(INT((X47-1)/4)+1)))</f>
        <v/>
      </c>
      <c r="G47" s="19" t="str">
        <f t="array" ref="G47">IF(X47="","",INDEX('Inventory - P05'!$I$16:$I$27,(INT((X47-1)/4)+1)))</f>
        <v/>
      </c>
      <c r="H47" s="19" t="str">
        <f t="array" ref="H47">IF(X47="","",INDEX('Inventory - P05'!$J$16:$J$27,(INT((X47-1)/4)+1)))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19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P05'!$D$16:$D$27,(INT((X48-1)/4)+1)))</f>
        <v/>
      </c>
      <c r="F48" s="19" t="str">
        <f t="array" ref="F48">IF(X48="","",INDEX('Inventory - P05'!$E$16:$E$27,(INT((X48-1)/4)+1)))</f>
        <v/>
      </c>
      <c r="G48" s="19" t="str">
        <f t="array" ref="G48">IF(X48="","",INDEX('Inventory - P05'!$I$16:$I$27,(INT((X48-1)/4)+1)))</f>
        <v/>
      </c>
      <c r="H48" s="19" t="str">
        <f t="array" ref="H48">IF(X48="","",INDEX('Inventory - P05'!$J$16:$J$27,(INT((X48-1)/4)+1)))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19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P05'!$D$16:$D$27,(INT((X50-1)/4)+1)))</f>
        <v/>
      </c>
      <c r="F50" s="19" t="str">
        <f t="array" ref="F50">IF(X50="","",INDEX('Inventory - P05'!$E$16:$E$27,(INT((X50-1)/4)+1)))</f>
        <v/>
      </c>
      <c r="G50" s="19" t="str">
        <f t="array" ref="G50">IF(X50="","",INDEX('Inventory - P05'!$I$16:$I$27,(INT((X50-1)/4)+1)))</f>
        <v/>
      </c>
      <c r="H50" s="19" t="str">
        <f t="array" ref="H50">IF(X50="","",INDEX('Inventory - P05'!$J$16:$J$27,(INT((X50-1)/4)+1)))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19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P05'!$D$16:$D$27,(INT((X51-1)/4)+1)))</f>
        <v/>
      </c>
      <c r="F51" s="19" t="str">
        <f t="array" ref="F51">IF(X51="","",INDEX('Inventory - P05'!$E$16:$E$27,(INT((X51-1)/4)+1)))</f>
        <v/>
      </c>
      <c r="G51" s="19" t="str">
        <f t="array" ref="G51">IF(X51="","",INDEX('Inventory - P05'!$I$16:$I$27,(INT((X51-1)/4)+1)))</f>
        <v/>
      </c>
      <c r="H51" s="19" t="str">
        <f t="array" ref="H51">IF(X51="","",INDEX('Inventory - P05'!$J$16:$J$27,(INT((X51-1)/4)+1)))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19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P05'!$D$16:$D$27,(INT((X52-1)/4)+1)))</f>
        <v/>
      </c>
      <c r="F52" s="19" t="str">
        <f t="array" ref="F52">IF(X52="","",INDEX('Inventory - P05'!$E$16:$E$27,(INT((X52-1)/4)+1)))</f>
        <v/>
      </c>
      <c r="G52" s="19" t="str">
        <f t="array" ref="G52">IF(X52="","",INDEX('Inventory - P05'!$I$16:$I$27,(INT((X52-1)/4)+1)))</f>
        <v/>
      </c>
      <c r="H52" s="19" t="str">
        <f t="array" ref="H52">IF(X52="","",INDEX('Inventory - P05'!$J$16:$J$27,(INT((X52-1)/4)+1)))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19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P05'!$D$16:$D$27,(INT((X53-1)/4)+1)))</f>
        <v/>
      </c>
      <c r="F53" s="19" t="str">
        <f t="array" ref="F53">IF(X53="","",INDEX('Inventory - P05'!$E$16:$E$27,(INT((X53-1)/4)+1)))</f>
        <v/>
      </c>
      <c r="G53" s="19" t="str">
        <f t="array" ref="G53">IF(X53="","",INDEX('Inventory - P05'!$I$16:$I$27,(INT((X53-1)/4)+1)))</f>
        <v/>
      </c>
      <c r="H53" s="19" t="str">
        <f t="array" ref="H53">IF(X53="","",INDEX('Inventory - P05'!$J$16:$J$27,(INT((X53-1)/4)+1)))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19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P05'!$D$16:$D$27,(INT((X54-1)/4)+1)))</f>
        <v/>
      </c>
      <c r="F54" s="19" t="str">
        <f t="array" ref="F54">IF(X54="","",INDEX('Inventory - P05'!$E$16:$E$27,(INT((X54-1)/4)+1)))</f>
        <v/>
      </c>
      <c r="G54" s="19" t="str">
        <f t="array" ref="G54">IF(X54="","",INDEX('Inventory - P05'!$I$16:$I$27,(INT((X54-1)/4)+1)))</f>
        <v/>
      </c>
      <c r="H54" s="19" t="str">
        <f t="array" ref="H54">IF(X54="","",INDEX('Inventory - P05'!$J$16:$J$27,(INT((X54-1)/4)+1)))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19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P05'!$D$16:$D$27,(INT((X55-1)/4)+1)))</f>
        <v/>
      </c>
      <c r="F55" s="19" t="str">
        <f t="array" ref="F55">IF(X55="","",INDEX('Inventory - P05'!$E$16:$E$27,(INT((X55-1)/4)+1)))</f>
        <v/>
      </c>
      <c r="G55" s="19" t="str">
        <f t="array" ref="G55">IF(X55="","",INDEX('Inventory - P05'!$I$16:$I$27,(INT((X55-1)/4)+1)))</f>
        <v/>
      </c>
      <c r="H55" s="19" t="str">
        <f t="array" ref="H55">IF(X55="","",INDEX('Inventory - P05'!$J$16:$J$27,(INT((X55-1)/4)+1)))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19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P05'!$D$16:$D$27,(INT((X56-1)/4)+1)))</f>
        <v/>
      </c>
      <c r="F56" s="19" t="str">
        <f t="array" ref="F56">IF(X56="","",INDEX('Inventory - P05'!$E$16:$E$27,(INT((X56-1)/4)+1)))</f>
        <v/>
      </c>
      <c r="G56" s="19" t="str">
        <f t="array" ref="G56">IF(X56="","",INDEX('Inventory - P05'!$I$16:$I$27,(INT((X56-1)/4)+1)))</f>
        <v/>
      </c>
      <c r="H56" s="19" t="str">
        <f t="array" ref="H56">IF(X56="","",INDEX('Inventory - P05'!$J$16:$J$27,(INT((X56-1)/4)+1)))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19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P05'!$D$16:$D$27,(INT((X57-1)/4)+1)))</f>
        <v/>
      </c>
      <c r="F57" s="19" t="str">
        <f t="array" ref="F57">IF(X57="","",INDEX('Inventory - P05'!$E$16:$E$27,(INT((X57-1)/4)+1)))</f>
        <v/>
      </c>
      <c r="G57" s="19" t="str">
        <f t="array" ref="G57">IF(X57="","",INDEX('Inventory - P05'!$I$16:$I$27,(INT((X57-1)/4)+1)))</f>
        <v/>
      </c>
      <c r="H57" s="19" t="str">
        <f t="array" ref="H57">IF(X57="","",INDEX('Inventory - P05'!$J$16:$J$27,(INT((X57-1)/4)+1)))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19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P05'!$D$16:$D$27,(INT((X58-1)/4)+1)))</f>
        <v/>
      </c>
      <c r="F58" s="19" t="str">
        <f t="array" ref="F58">IF(X58="","",INDEX('Inventory - P05'!$E$16:$E$27,(INT((X58-1)/4)+1)))</f>
        <v/>
      </c>
      <c r="G58" s="19" t="str">
        <f t="array" ref="G58">IF(X58="","",INDEX('Inventory - P05'!$I$16:$I$27,(INT((X58-1)/4)+1)))</f>
        <v/>
      </c>
      <c r="H58" s="19" t="str">
        <f t="array" ref="H58">IF(X58="","",INDEX('Inventory - P05'!$J$16:$J$27,(INT((X58-1)/4)+1)))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19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P05'!$D$16:$D$27,(INT((X59-1)/4)+1)))</f>
        <v/>
      </c>
      <c r="F59" s="19" t="str">
        <f t="array" ref="F59">IF(X59="","",INDEX('Inventory - P05'!$E$16:$E$27,(INT((X59-1)/4)+1)))</f>
        <v/>
      </c>
      <c r="G59" s="19" t="str">
        <f t="array" ref="G59">IF(X59="","",INDEX('Inventory - P05'!$I$16:$I$27,(INT((X59-1)/4)+1)))</f>
        <v/>
      </c>
      <c r="H59" s="19" t="str">
        <f t="array" ref="H59">IF(X59="","",INDEX('Inventory - P05'!$J$16:$J$27,(INT((X59-1)/4)+1)))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19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P05'!$D$16:$D$27,(INT((X60-1)/4)+1)))</f>
        <v/>
      </c>
      <c r="F60" s="19" t="str">
        <f t="array" ref="F60">IF(X60="","",INDEX('Inventory - P05'!$E$16:$E$27,(INT((X60-1)/4)+1)))</f>
        <v/>
      </c>
      <c r="G60" s="19" t="str">
        <f t="array" ref="G60">IF(X60="","",INDEX('Inventory - P05'!$I$16:$I$27,(INT((X60-1)/4)+1)))</f>
        <v/>
      </c>
      <c r="H60" s="19" t="str">
        <f t="array" ref="H60">IF(X60="","",INDEX('Inventory - P05'!$J$16:$J$27,(INT((X60-1)/4)+1)))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19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P05'!$D$16:$D$27,(INT((X61-1)/4)+1)))</f>
        <v/>
      </c>
      <c r="F61" s="19" t="str">
        <f t="array" ref="F61">IF(X61="","",INDEX('Inventory - P05'!$E$16:$E$27,(INT((X61-1)/4)+1)))</f>
        <v/>
      </c>
      <c r="G61" s="19" t="str">
        <f t="array" ref="G61">IF(X61="","",INDEX('Inventory - P05'!$I$16:$I$27,(INT((X61-1)/4)+1)))</f>
        <v/>
      </c>
      <c r="H61" s="19" t="str">
        <f t="array" ref="H61">IF(X61="","",INDEX('Inventory - P05'!$J$16:$J$27,(INT((X61-1)/4)+1)))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P05'!E16&lt;1,'Inventory - P05'!F16="",'Inventory - P05'!G16=""),9,MOD('Inventory - P05'!F16+0*'Inventory - P05'!G16/24,1))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P05'!E16&lt;2,'Inventory - P05'!F16="",'Inventory - P05'!G16=""),9,MOD('Inventory - P05'!F16+1*'Inventory - P05'!G16/24,1))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P05'!E16&lt;3,'Inventory - P05'!F16="",'Inventory - P05'!G16=""),9,MOD('Inventory - P05'!F16+2*'Inventory - P05'!G16/24,1))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P05'!E16&lt;4,'Inventory - P05'!F16="",'Inventory - P05'!G16=""),9,MOD('Inventory - P05'!F16+3*'Inventory - P05'!G16/24,1))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P05'!E17&lt;1,'Inventory - P05'!F17="",'Inventory - P05'!G17=""),9,MOD('Inventory - P05'!F17+0*'Inventory - P05'!G17/24,1))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P05'!E17&lt;2,'Inventory - P05'!F17="",'Inventory - P05'!G17=""),9,MOD('Inventory - P05'!F17+1*'Inventory - P05'!G17/24,1))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P05'!E17&lt;3,'Inventory - P05'!F17="",'Inventory - P05'!G17=""),9,MOD('Inventory - P05'!F17+2*'Inventory - P05'!G17/24,1))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P05'!E17&lt;4,'Inventory - P05'!F17="",'Inventory - P05'!G17=""),9,MOD('Inventory - P05'!F17+3*'Inventory - P05'!G17/24,1))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P05'!E18&lt;1,'Inventory - P05'!F18="",'Inventory - P05'!G18=""),9,MOD('Inventory - P05'!F18+0*'Inventory - P05'!G18/24,1))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P05'!E18&lt;2,'Inventory - P05'!F18="",'Inventory - P05'!G18=""),9,MOD('Inventory - P05'!F18+1*'Inventory - P05'!G18/24,1))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P05'!E18&lt;3,'Inventory - P05'!F18="",'Inventory - P05'!G18=""),9,MOD('Inventory - P05'!F18+2*'Inventory - P05'!G18/24,1))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P05'!E18&lt;4,'Inventory - P05'!F18="",'Inventory - P05'!G18=""),9,MOD('Inventory - P05'!F18+3*'Inventory - P05'!G18/24,1))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P05'!E19&lt;1,'Inventory - P05'!F19="",'Inventory - P05'!G19=""),9,MOD('Inventory - P05'!F19+0*'Inventory - P05'!G19/24,1))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P05'!E19&lt;2,'Inventory - P05'!F19="",'Inventory - P05'!G19=""),9,MOD('Inventory - P05'!F19+1*'Inventory - P05'!G19/24,1))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P05'!E19&lt;3,'Inventory - P05'!F19="",'Inventory - P05'!G19=""),9,MOD('Inventory - P05'!F19+2*'Inventory - P05'!G19/24,1))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P05'!E19&lt;4,'Inventory - P05'!F19="",'Inventory - P05'!G19=""),9,MOD('Inventory - P05'!F19+3*'Inventory - P05'!G19/24,1))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P05'!E20&lt;1,'Inventory - P05'!F20="",'Inventory - P05'!G20=""),9,MOD('Inventory - P05'!F20+0*'Inventory - P05'!G20/24,1))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P05'!E20&lt;2,'Inventory - P05'!F20="",'Inventory - P05'!G20=""),9,MOD('Inventory - P05'!F20+1*'Inventory - P05'!G20/24,1))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P05'!E20&lt;3,'Inventory - P05'!F20="",'Inventory - P05'!G20=""),9,MOD('Inventory - P05'!F20+2*'Inventory - P05'!G20/24,1))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P05'!E20&lt;4,'Inventory - P05'!F20="",'Inventory - P05'!G20=""),9,MOD('Inventory - P05'!F20+3*'Inventory - P05'!G20/24,1))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P05'!E21&lt;1,'Inventory - P05'!F21="",'Inventory - P05'!G21=""),9,MOD('Inventory - P05'!F21+0*'Inventory - P05'!G21/24,1))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P05'!E21&lt;2,'Inventory - P05'!F21="",'Inventory - P05'!G21=""),9,MOD('Inventory - P05'!F21+1*'Inventory - P05'!G21/24,1))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P05'!E21&lt;3,'Inventory - P05'!F21="",'Inventory - P05'!G21=""),9,MOD('Inventory - P05'!F21+2*'Inventory - P05'!G21/24,1))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P05'!E21&lt;4,'Inventory - P05'!F21="",'Inventory - P05'!G21=""),9,MOD('Inventory - P05'!F21+3*'Inventory - P05'!G21/24,1))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P05'!E22&lt;1,'Inventory - P05'!F22="",'Inventory - P05'!G22=""),9,MOD('Inventory - P05'!F22+0*'Inventory - P05'!G22/24,1))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P05'!E22&lt;2,'Inventory - P05'!F22="",'Inventory - P05'!G22=""),9,MOD('Inventory - P05'!F22+1*'Inventory - P05'!G22/24,1))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P05'!E22&lt;3,'Inventory - P05'!F22="",'Inventory - P05'!G22=""),9,MOD('Inventory - P05'!F22+2*'Inventory - P05'!G22/24,1))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P05'!E22&lt;4,'Inventory - P05'!F22="",'Inventory - P05'!G22=""),9,MOD('Inventory - P05'!F22+3*'Inventory - P05'!G22/24,1))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P05'!E23&lt;1,'Inventory - P05'!F23="",'Inventory - P05'!G23=""),9,MOD('Inventory - P05'!F23+0*'Inventory - P05'!G23/24,1))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P05'!E23&lt;2,'Inventory - P05'!F23="",'Inventory - P05'!G23=""),9,MOD('Inventory - P05'!F23+1*'Inventory - P05'!G23/24,1))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P05'!E23&lt;3,'Inventory - P05'!F23="",'Inventory - P05'!G23=""),9,MOD('Inventory - P05'!F23+2*'Inventory - P05'!G23/24,1))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P05'!E23&lt;4,'Inventory - P05'!F23="",'Inventory - P05'!G23=""),9,MOD('Inventory - P05'!F23+3*'Inventory - P05'!G23/24,1))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P05'!E24&lt;1,'Inventory - P05'!F24="",'Inventory - P05'!G24=""),9,MOD('Inventory - P05'!F24+0*'Inventory - P05'!G24/24,1))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P05'!E24&lt;2,'Inventory - P05'!F24="",'Inventory - P05'!G24=""),9,MOD('Inventory - P05'!F24+1*'Inventory - P05'!G24/24,1))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P05'!E24&lt;3,'Inventory - P05'!F24="",'Inventory - P05'!G24=""),9,MOD('Inventory - P05'!F24+2*'Inventory - P05'!G24/24,1))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P05'!E24&lt;4,'Inventory - P05'!F24="",'Inventory - P05'!G24=""),9,MOD('Inventory - P05'!F24+3*'Inventory - P05'!G24/24,1))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P05'!E25&lt;1,'Inventory - P05'!F25="",'Inventory - P05'!G25=""),9,MOD('Inventory - P05'!F25+0*'Inventory - P05'!G25/24,1))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P05'!E25&lt;2,'Inventory - P05'!F25="",'Inventory - P05'!G25=""),9,MOD('Inventory - P05'!F25+1*'Inventory - P05'!G25/24,1))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P05'!E25&lt;3,'Inventory - P05'!F25="",'Inventory - P05'!G25=""),9,MOD('Inventory - P05'!F25+2*'Inventory - P05'!G25/24,1))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P05'!E25&lt;4,'Inventory - P05'!F25="",'Inventory - P05'!G25=""),9,MOD('Inventory - P05'!F25+3*'Inventory - P05'!G25/24,1))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P05'!E26&lt;1,'Inventory - P05'!F26="",'Inventory - P05'!G26=""),9,MOD('Inventory - P05'!F26+0*'Inventory - P05'!G26/24,1))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P05'!E26&lt;2,'Inventory - P05'!F26="",'Inventory - P05'!G26=""),9,MOD('Inventory - P05'!F26+1*'Inventory - P05'!G26/24,1))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P05'!E26&lt;3,'Inventory - P05'!F26="",'Inventory - P05'!G26=""),9,MOD('Inventory - P05'!F26+2*'Inventory - P05'!G26/24,1))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P05'!E26&lt;4,'Inventory - P05'!F26="",'Inventory - P05'!G26=""),9,MOD('Inventory - P05'!F26+3*'Inventory - P05'!G26/24,1))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P05'!E27&lt;1,'Inventory - P05'!F27="",'Inventory - P05'!G27=""),9,MOD('Inventory - P05'!F27+0*'Inventory - P05'!G27/24,1))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P05'!E27&lt;2,'Inventory - P05'!F27="",'Inventory - P05'!G27=""),9,MOD('Inventory - P05'!F27+1*'Inventory - P05'!G27/24,1))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P05'!E27&lt;3,'Inventory - P05'!F27="",'Inventory - P05'!G27=""),9,MOD('Inventory - P05'!F27+2*'Inventory - P05'!G27/24,1))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P05'!E27&lt;4,'Inventory - P05'!F27="",'Inventory - P05'!G27=""),9,MOD('Inventory - P05'!F27+3*'Inventory - P05'!G27/24,1))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Tracker'!S10="","","INV-"&amp;SUBSTITUTE('Client Needs Tracker'!S10," ",""))</f>
        <v>INV-M-3B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Tracker'!B10="","(Add client on Client Needs Tracker, row 10)",'Client Needs Tracker'!B10)</f>
        <v>(Add client on Client Needs Tracker, row 10)</v>
      </c>
      <c r="B6" s="104"/>
      <c r="C6" s="104"/>
      <c r="D6" s="104"/>
      <c r="E6" s="104"/>
      <c r="F6" s="105" t="str">
        <f>'Client Needs Tracker'!A10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Tracker'!C10="","",'Client Needs Tracker'!C10)</f>
        <v/>
      </c>
      <c r="B8" s="104"/>
      <c r="C8" s="104"/>
      <c r="D8" s="104"/>
      <c r="E8" s="104"/>
      <c r="F8" s="108" t="str">
        <f>'Client Needs Tracker'!E10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Tracker'!F10="","",'Client Needs Tracker'!F10)</f>
        <v/>
      </c>
      <c r="B10" s="104"/>
      <c r="C10" s="104"/>
      <c r="D10" s="104"/>
      <c r="E10" s="104"/>
      <c r="F10" s="110" t="str">
        <f>IF('Client Status Board'!G10="","",'Client Status Board'!G10)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Board'!L10="","",'Client Status Board'!L10)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ht="15.0" customHeight="1">
      <c r="A3" s="130" t="str">
        <f>IF('Inventory - P06'!A6="","(Enter name in Inventory - P06)",'Inventory - P06'!A6)</f>
        <v>(Add client on Client Needs Tracker, row 10)</v>
      </c>
      <c r="B3" s="131"/>
      <c r="C3" s="131"/>
      <c r="D3" s="131"/>
      <c r="E3" s="131"/>
      <c r="F3" s="132" t="str">
        <f>IF('Inventory - P06'!F6="","(Enter ID in Inventory - P06)","Member ID: "&amp;'Inventory - P06'!F6)</f>
        <v>(Enter ID in Inventory - P06)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Tracker'!S10="","","INV-"&amp;SUBSTITUTE('Client Needs Tracker'!S10," ",""))</f>
        <v>INV-M-3B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P06'!F8="","-",'Inventory - P06'!F8)</f>
        <v>LOC: -</v>
      </c>
      <c r="C5" s="3"/>
      <c r="D5" s="134" t="str">
        <f>"Case Manager: "&amp;IF('Inventory - P06'!A10="","-",'Inventory - P06'!A10)</f>
        <v>Case Manager: -</v>
      </c>
      <c r="F5" s="3"/>
      <c r="G5" s="134" t="str">
        <f>"Doctor: "&amp;IF('Inventory - P06'!F10="","-",'Inventory - P06'!F10)</f>
        <v>Doctor: -</v>
      </c>
      <c r="I5" s="3"/>
      <c r="J5" s="134" t="str">
        <f>"Pharmacy: "&amp;IF('Inventory - P06'!A12="","-",'Inventory - P06'!A12)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P06'!A14="","",'Inventory - P06'!A14)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P06'!A14="","",'Inventory - P06'!A14+0)</f>
        <v/>
      </c>
      <c r="J8" s="139"/>
      <c r="K8" s="138" t="str">
        <f>IF('Inventory - P06'!A14="","",'Inventory - P06'!A14+1)</f>
        <v/>
      </c>
      <c r="L8" s="139"/>
      <c r="M8" s="138" t="str">
        <f>IF('Inventory - P06'!A14="","",'Inventory - P06'!A14+2)</f>
        <v/>
      </c>
      <c r="N8" s="139"/>
      <c r="O8" s="138" t="str">
        <f>IF('Inventory - P06'!A14="","",'Inventory - P06'!A14+3)</f>
        <v/>
      </c>
      <c r="P8" s="139"/>
      <c r="Q8" s="138" t="str">
        <f>IF('Inventory - P06'!A14="","",'Inventory - P06'!A14+4)</f>
        <v/>
      </c>
      <c r="R8" s="139"/>
      <c r="S8" s="138" t="str">
        <f>IF('Inventory - P06'!A14="","",'Inventory - P06'!A14+5)</f>
        <v/>
      </c>
      <c r="T8" s="139"/>
      <c r="U8" s="138" t="str">
        <f>IF('Inventory - P06'!A14="","",'Inventory - P06'!A14+6)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19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P06'!$D$16:$D$27,(INT((X11-1)/4)+1)))</f>
        <v/>
      </c>
      <c r="F11" s="19" t="str">
        <f t="array" ref="F11">IF(X11="","",INDEX('Inventory - P06'!$E$16:$E$27,(INT((X11-1)/4)+1)))</f>
        <v/>
      </c>
      <c r="G11" s="19" t="str">
        <f t="array" ref="G11">IF(X11="","",INDEX('Inventory - P06'!$I$16:$I$27,(INT((X11-1)/4)+1)))</f>
        <v/>
      </c>
      <c r="H11" s="19" t="str">
        <f t="array" ref="H11">IF(X11="","",INDEX('Inventory - P06'!$J$16:$J$27,(INT((X11-1)/4)+1)))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19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P06'!$D$16:$D$27,(INT((X12-1)/4)+1)))</f>
        <v/>
      </c>
      <c r="F12" s="19" t="str">
        <f t="array" ref="F12">IF(X12="","",INDEX('Inventory - P06'!$E$16:$E$27,(INT((X12-1)/4)+1)))</f>
        <v/>
      </c>
      <c r="G12" s="19" t="str">
        <f t="array" ref="G12">IF(X12="","",INDEX('Inventory - P06'!$I$16:$I$27,(INT((X12-1)/4)+1)))</f>
        <v/>
      </c>
      <c r="H12" s="19" t="str">
        <f t="array" ref="H12">IF(X12="","",INDEX('Inventory - P06'!$J$16:$J$27,(INT((X12-1)/4)+1)))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19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P06'!$D$16:$D$27,(INT((X13-1)/4)+1)))</f>
        <v/>
      </c>
      <c r="F13" s="19" t="str">
        <f t="array" ref="F13">IF(X13="","",INDEX('Inventory - P06'!$E$16:$E$27,(INT((X13-1)/4)+1)))</f>
        <v/>
      </c>
      <c r="G13" s="19" t="str">
        <f t="array" ref="G13">IF(X13="","",INDEX('Inventory - P06'!$I$16:$I$27,(INT((X13-1)/4)+1)))</f>
        <v/>
      </c>
      <c r="H13" s="19" t="str">
        <f t="array" ref="H13">IF(X13="","",INDEX('Inventory - P06'!$J$16:$J$27,(INT((X13-1)/4)+1)))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19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P06'!$D$16:$D$27,(INT((X14-1)/4)+1)))</f>
        <v/>
      </c>
      <c r="F14" s="19" t="str">
        <f t="array" ref="F14">IF(X14="","",INDEX('Inventory - P06'!$E$16:$E$27,(INT((X14-1)/4)+1)))</f>
        <v/>
      </c>
      <c r="G14" s="19" t="str">
        <f t="array" ref="G14">IF(X14="","",INDEX('Inventory - P06'!$I$16:$I$27,(INT((X14-1)/4)+1)))</f>
        <v/>
      </c>
      <c r="H14" s="19" t="str">
        <f t="array" ref="H14">IF(X14="","",INDEX('Inventory - P06'!$J$16:$J$27,(INT((X14-1)/4)+1)))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19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P06'!$D$16:$D$27,(INT((X15-1)/4)+1)))</f>
        <v/>
      </c>
      <c r="F15" s="19" t="str">
        <f t="array" ref="F15">IF(X15="","",INDEX('Inventory - P06'!$E$16:$E$27,(INT((X15-1)/4)+1)))</f>
        <v/>
      </c>
      <c r="G15" s="19" t="str">
        <f t="array" ref="G15">IF(X15="","",INDEX('Inventory - P06'!$I$16:$I$27,(INT((X15-1)/4)+1)))</f>
        <v/>
      </c>
      <c r="H15" s="19" t="str">
        <f t="array" ref="H15">IF(X15="","",INDEX('Inventory - P06'!$J$16:$J$27,(INT((X15-1)/4)+1)))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19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P06'!$D$16:$D$27,(INT((X16-1)/4)+1)))</f>
        <v/>
      </c>
      <c r="F16" s="19" t="str">
        <f t="array" ref="F16">IF(X16="","",INDEX('Inventory - P06'!$E$16:$E$27,(INT((X16-1)/4)+1)))</f>
        <v/>
      </c>
      <c r="G16" s="19" t="str">
        <f t="array" ref="G16">IF(X16="","",INDEX('Inventory - P06'!$I$16:$I$27,(INT((X16-1)/4)+1)))</f>
        <v/>
      </c>
      <c r="H16" s="19" t="str">
        <f t="array" ref="H16">IF(X16="","",INDEX('Inventory - P06'!$J$16:$J$27,(INT((X16-1)/4)+1)))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19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P06'!$D$16:$D$27,(INT((X17-1)/4)+1)))</f>
        <v/>
      </c>
      <c r="F17" s="19" t="str">
        <f t="array" ref="F17">IF(X17="","",INDEX('Inventory - P06'!$E$16:$E$27,(INT((X17-1)/4)+1)))</f>
        <v/>
      </c>
      <c r="G17" s="19" t="str">
        <f t="array" ref="G17">IF(X17="","",INDEX('Inventory - P06'!$I$16:$I$27,(INT((X17-1)/4)+1)))</f>
        <v/>
      </c>
      <c r="H17" s="19" t="str">
        <f t="array" ref="H17">IF(X17="","",INDEX('Inventory - P06'!$J$16:$J$27,(INT((X17-1)/4)+1)))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19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P06'!$D$16:$D$27,(INT((X18-1)/4)+1)))</f>
        <v/>
      </c>
      <c r="F18" s="19" t="str">
        <f t="array" ref="F18">IF(X18="","",INDEX('Inventory - P06'!$E$16:$E$27,(INT((X18-1)/4)+1)))</f>
        <v/>
      </c>
      <c r="G18" s="19" t="str">
        <f t="array" ref="G18">IF(X18="","",INDEX('Inventory - P06'!$I$16:$I$27,(INT((X18-1)/4)+1)))</f>
        <v/>
      </c>
      <c r="H18" s="19" t="str">
        <f t="array" ref="H18">IF(X18="","",INDEX('Inventory - P06'!$J$16:$J$27,(INT((X18-1)/4)+1)))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19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P06'!$D$16:$D$27,(INT((X19-1)/4)+1)))</f>
        <v/>
      </c>
      <c r="F19" s="19" t="str">
        <f t="array" ref="F19">IF(X19="","",INDEX('Inventory - P06'!$E$16:$E$27,(INT((X19-1)/4)+1)))</f>
        <v/>
      </c>
      <c r="G19" s="19" t="str">
        <f t="array" ref="G19">IF(X19="","",INDEX('Inventory - P06'!$I$16:$I$27,(INT((X19-1)/4)+1)))</f>
        <v/>
      </c>
      <c r="H19" s="19" t="str">
        <f t="array" ref="H19">IF(X19="","",INDEX('Inventory - P06'!$J$16:$J$27,(INT((X19-1)/4)+1)))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19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P06'!$D$16:$D$27,(INT((X20-1)/4)+1)))</f>
        <v/>
      </c>
      <c r="F20" s="19" t="str">
        <f t="array" ref="F20">IF(X20="","",INDEX('Inventory - P06'!$E$16:$E$27,(INT((X20-1)/4)+1)))</f>
        <v/>
      </c>
      <c r="G20" s="19" t="str">
        <f t="array" ref="G20">IF(X20="","",INDEX('Inventory - P06'!$I$16:$I$27,(INT((X20-1)/4)+1)))</f>
        <v/>
      </c>
      <c r="H20" s="19" t="str">
        <f t="array" ref="H20">IF(X20="","",INDEX('Inventory - P06'!$J$16:$J$27,(INT((X20-1)/4)+1)))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19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P06'!$D$16:$D$27,(INT((X21-1)/4)+1)))</f>
        <v/>
      </c>
      <c r="F21" s="19" t="str">
        <f t="array" ref="F21">IF(X21="","",INDEX('Inventory - P06'!$E$16:$E$27,(INT((X21-1)/4)+1)))</f>
        <v/>
      </c>
      <c r="G21" s="19" t="str">
        <f t="array" ref="G21">IF(X21="","",INDEX('Inventory - P06'!$I$16:$I$27,(INT((X21-1)/4)+1)))</f>
        <v/>
      </c>
      <c r="H21" s="19" t="str">
        <f t="array" ref="H21">IF(X21="","",INDEX('Inventory - P06'!$J$16:$J$27,(INT((X21-1)/4)+1)))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19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P06'!$D$16:$D$27,(INT((X22-1)/4)+1)))</f>
        <v/>
      </c>
      <c r="F22" s="19" t="str">
        <f t="array" ref="F22">IF(X22="","",INDEX('Inventory - P06'!$E$16:$E$27,(INT((X22-1)/4)+1)))</f>
        <v/>
      </c>
      <c r="G22" s="19" t="str">
        <f t="array" ref="G22">IF(X22="","",INDEX('Inventory - P06'!$I$16:$I$27,(INT((X22-1)/4)+1)))</f>
        <v/>
      </c>
      <c r="H22" s="19" t="str">
        <f t="array" ref="H22">IF(X22="","",INDEX('Inventory - P06'!$J$16:$J$27,(INT((X22-1)/4)+1)))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19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P06'!$D$16:$D$27,(INT((X24-1)/4)+1)))</f>
        <v/>
      </c>
      <c r="F24" s="19" t="str">
        <f t="array" ref="F24">IF(X24="","",INDEX('Inventory - P06'!$E$16:$E$27,(INT((X24-1)/4)+1)))</f>
        <v/>
      </c>
      <c r="G24" s="19" t="str">
        <f t="array" ref="G24">IF(X24="","",INDEX('Inventory - P06'!$I$16:$I$27,(INT((X24-1)/4)+1)))</f>
        <v/>
      </c>
      <c r="H24" s="19" t="str">
        <f t="array" ref="H24">IF(X24="","",INDEX('Inventory - P06'!$J$16:$J$27,(INT((X24-1)/4)+1)))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19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P06'!$D$16:$D$27,(INT((X25-1)/4)+1)))</f>
        <v/>
      </c>
      <c r="F25" s="19" t="str">
        <f t="array" ref="F25">IF(X25="","",INDEX('Inventory - P06'!$E$16:$E$27,(INT((X25-1)/4)+1)))</f>
        <v/>
      </c>
      <c r="G25" s="19" t="str">
        <f t="array" ref="G25">IF(X25="","",INDEX('Inventory - P06'!$I$16:$I$27,(INT((X25-1)/4)+1)))</f>
        <v/>
      </c>
      <c r="H25" s="19" t="str">
        <f t="array" ref="H25">IF(X25="","",INDEX('Inventory - P06'!$J$16:$J$27,(INT((X25-1)/4)+1)))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19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P06'!$D$16:$D$27,(INT((X26-1)/4)+1)))</f>
        <v/>
      </c>
      <c r="F26" s="19" t="str">
        <f t="array" ref="F26">IF(X26="","",INDEX('Inventory - P06'!$E$16:$E$27,(INT((X26-1)/4)+1)))</f>
        <v/>
      </c>
      <c r="G26" s="19" t="str">
        <f t="array" ref="G26">IF(X26="","",INDEX('Inventory - P06'!$I$16:$I$27,(INT((X26-1)/4)+1)))</f>
        <v/>
      </c>
      <c r="H26" s="19" t="str">
        <f t="array" ref="H26">IF(X26="","",INDEX('Inventory - P06'!$J$16:$J$27,(INT((X26-1)/4)+1)))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19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P06'!$D$16:$D$27,(INT((X27-1)/4)+1)))</f>
        <v/>
      </c>
      <c r="F27" s="19" t="str">
        <f t="array" ref="F27">IF(X27="","",INDEX('Inventory - P06'!$E$16:$E$27,(INT((X27-1)/4)+1)))</f>
        <v/>
      </c>
      <c r="G27" s="19" t="str">
        <f t="array" ref="G27">IF(X27="","",INDEX('Inventory - P06'!$I$16:$I$27,(INT((X27-1)/4)+1)))</f>
        <v/>
      </c>
      <c r="H27" s="19" t="str">
        <f t="array" ref="H27">IF(X27="","",INDEX('Inventory - P06'!$J$16:$J$27,(INT((X27-1)/4)+1)))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19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P06'!$D$16:$D$27,(INT((X28-1)/4)+1)))</f>
        <v/>
      </c>
      <c r="F28" s="19" t="str">
        <f t="array" ref="F28">IF(X28="","",INDEX('Inventory - P06'!$E$16:$E$27,(INT((X28-1)/4)+1)))</f>
        <v/>
      </c>
      <c r="G28" s="19" t="str">
        <f t="array" ref="G28">IF(X28="","",INDEX('Inventory - P06'!$I$16:$I$27,(INT((X28-1)/4)+1)))</f>
        <v/>
      </c>
      <c r="H28" s="19" t="str">
        <f t="array" ref="H28">IF(X28="","",INDEX('Inventory - P06'!$J$16:$J$27,(INT((X28-1)/4)+1)))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19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P06'!$D$16:$D$27,(INT((X29-1)/4)+1)))</f>
        <v/>
      </c>
      <c r="F29" s="19" t="str">
        <f t="array" ref="F29">IF(X29="","",INDEX('Inventory - P06'!$E$16:$E$27,(INT((X29-1)/4)+1)))</f>
        <v/>
      </c>
      <c r="G29" s="19" t="str">
        <f t="array" ref="G29">IF(X29="","",INDEX('Inventory - P06'!$I$16:$I$27,(INT((X29-1)/4)+1)))</f>
        <v/>
      </c>
      <c r="H29" s="19" t="str">
        <f t="array" ref="H29">IF(X29="","",INDEX('Inventory - P06'!$J$16:$J$27,(INT((X29-1)/4)+1)))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19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P06'!$D$16:$D$27,(INT((X30-1)/4)+1)))</f>
        <v/>
      </c>
      <c r="F30" s="19" t="str">
        <f t="array" ref="F30">IF(X30="","",INDEX('Inventory - P06'!$E$16:$E$27,(INT((X30-1)/4)+1)))</f>
        <v/>
      </c>
      <c r="G30" s="19" t="str">
        <f t="array" ref="G30">IF(X30="","",INDEX('Inventory - P06'!$I$16:$I$27,(INT((X30-1)/4)+1)))</f>
        <v/>
      </c>
      <c r="H30" s="19" t="str">
        <f t="array" ref="H30">IF(X30="","",INDEX('Inventory - P06'!$J$16:$J$27,(INT((X30-1)/4)+1)))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19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P06'!$D$16:$D$27,(INT((X31-1)/4)+1)))</f>
        <v/>
      </c>
      <c r="F31" s="19" t="str">
        <f t="array" ref="F31">IF(X31="","",INDEX('Inventory - P06'!$E$16:$E$27,(INT((X31-1)/4)+1)))</f>
        <v/>
      </c>
      <c r="G31" s="19" t="str">
        <f t="array" ref="G31">IF(X31="","",INDEX('Inventory - P06'!$I$16:$I$27,(INT((X31-1)/4)+1)))</f>
        <v/>
      </c>
      <c r="H31" s="19" t="str">
        <f t="array" ref="H31">IF(X31="","",INDEX('Inventory - P06'!$J$16:$J$27,(INT((X31-1)/4)+1)))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19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P06'!$D$16:$D$27,(INT((X32-1)/4)+1)))</f>
        <v/>
      </c>
      <c r="F32" s="19" t="str">
        <f t="array" ref="F32">IF(X32="","",INDEX('Inventory - P06'!$E$16:$E$27,(INT((X32-1)/4)+1)))</f>
        <v/>
      </c>
      <c r="G32" s="19" t="str">
        <f t="array" ref="G32">IF(X32="","",INDEX('Inventory - P06'!$I$16:$I$27,(INT((X32-1)/4)+1)))</f>
        <v/>
      </c>
      <c r="H32" s="19" t="str">
        <f t="array" ref="H32">IF(X32="","",INDEX('Inventory - P06'!$J$16:$J$27,(INT((X32-1)/4)+1)))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19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P06'!$D$16:$D$27,(INT((X33-1)/4)+1)))</f>
        <v/>
      </c>
      <c r="F33" s="19" t="str">
        <f t="array" ref="F33">IF(X33="","",INDEX('Inventory - P06'!$E$16:$E$27,(INT((X33-1)/4)+1)))</f>
        <v/>
      </c>
      <c r="G33" s="19" t="str">
        <f t="array" ref="G33">IF(X33="","",INDEX('Inventory - P06'!$I$16:$I$27,(INT((X33-1)/4)+1)))</f>
        <v/>
      </c>
      <c r="H33" s="19" t="str">
        <f t="array" ref="H33">IF(X33="","",INDEX('Inventory - P06'!$J$16:$J$27,(INT((X33-1)/4)+1)))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19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P06'!$D$16:$D$27,(INT((X34-1)/4)+1)))</f>
        <v/>
      </c>
      <c r="F34" s="19" t="str">
        <f t="array" ref="F34">IF(X34="","",INDEX('Inventory - P06'!$E$16:$E$27,(INT((X34-1)/4)+1)))</f>
        <v/>
      </c>
      <c r="G34" s="19" t="str">
        <f t="array" ref="G34">IF(X34="","",INDEX('Inventory - P06'!$I$16:$I$27,(INT((X34-1)/4)+1)))</f>
        <v/>
      </c>
      <c r="H34" s="19" t="str">
        <f t="array" ref="H34">IF(X34="","",INDEX('Inventory - P06'!$J$16:$J$27,(INT((X34-1)/4)+1)))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19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P06'!$D$16:$D$27,(INT((X35-1)/4)+1)))</f>
        <v/>
      </c>
      <c r="F35" s="19" t="str">
        <f t="array" ref="F35">IF(X35="","",INDEX('Inventory - P06'!$E$16:$E$27,(INT((X35-1)/4)+1)))</f>
        <v/>
      </c>
      <c r="G35" s="19" t="str">
        <f t="array" ref="G35">IF(X35="","",INDEX('Inventory - P06'!$I$16:$I$27,(INT((X35-1)/4)+1)))</f>
        <v/>
      </c>
      <c r="H35" s="19" t="str">
        <f t="array" ref="H35">IF(X35="","",INDEX('Inventory - P06'!$J$16:$J$27,(INT((X35-1)/4)+1)))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19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P06'!$D$16:$D$27,(INT((X37-1)/4)+1)))</f>
        <v/>
      </c>
      <c r="F37" s="19" t="str">
        <f t="array" ref="F37">IF(X37="","",INDEX('Inventory - P06'!$E$16:$E$27,(INT((X37-1)/4)+1)))</f>
        <v/>
      </c>
      <c r="G37" s="19" t="str">
        <f t="array" ref="G37">IF(X37="","",INDEX('Inventory - P06'!$I$16:$I$27,(INT((X37-1)/4)+1)))</f>
        <v/>
      </c>
      <c r="H37" s="19" t="str">
        <f t="array" ref="H37">IF(X37="","",INDEX('Inventory - P06'!$J$16:$J$27,(INT((X37-1)/4)+1)))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19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P06'!$D$16:$D$27,(INT((X38-1)/4)+1)))</f>
        <v/>
      </c>
      <c r="F38" s="19" t="str">
        <f t="array" ref="F38">IF(X38="","",INDEX('Inventory - P06'!$E$16:$E$27,(INT((X38-1)/4)+1)))</f>
        <v/>
      </c>
      <c r="G38" s="19" t="str">
        <f t="array" ref="G38">IF(X38="","",INDEX('Inventory - P06'!$I$16:$I$27,(INT((X38-1)/4)+1)))</f>
        <v/>
      </c>
      <c r="H38" s="19" t="str">
        <f t="array" ref="H38">IF(X38="","",INDEX('Inventory - P06'!$J$16:$J$27,(INT((X38-1)/4)+1)))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19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P06'!$D$16:$D$27,(INT((X39-1)/4)+1)))</f>
        <v/>
      </c>
      <c r="F39" s="19" t="str">
        <f t="array" ref="F39">IF(X39="","",INDEX('Inventory - P06'!$E$16:$E$27,(INT((X39-1)/4)+1)))</f>
        <v/>
      </c>
      <c r="G39" s="19" t="str">
        <f t="array" ref="G39">IF(X39="","",INDEX('Inventory - P06'!$I$16:$I$27,(INT((X39-1)/4)+1)))</f>
        <v/>
      </c>
      <c r="H39" s="19" t="str">
        <f t="array" ref="H39">IF(X39="","",INDEX('Inventory - P06'!$J$16:$J$27,(INT((X39-1)/4)+1)))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19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P06'!$D$16:$D$27,(INT((X40-1)/4)+1)))</f>
        <v/>
      </c>
      <c r="F40" s="19" t="str">
        <f t="array" ref="F40">IF(X40="","",INDEX('Inventory - P06'!$E$16:$E$27,(INT((X40-1)/4)+1)))</f>
        <v/>
      </c>
      <c r="G40" s="19" t="str">
        <f t="array" ref="G40">IF(X40="","",INDEX('Inventory - P06'!$I$16:$I$27,(INT((X40-1)/4)+1)))</f>
        <v/>
      </c>
      <c r="H40" s="19" t="str">
        <f t="array" ref="H40">IF(X40="","",INDEX('Inventory - P06'!$J$16:$J$27,(INT((X40-1)/4)+1)))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19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P06'!$D$16:$D$27,(INT((X41-1)/4)+1)))</f>
        <v/>
      </c>
      <c r="F41" s="19" t="str">
        <f t="array" ref="F41">IF(X41="","",INDEX('Inventory - P06'!$E$16:$E$27,(INT((X41-1)/4)+1)))</f>
        <v/>
      </c>
      <c r="G41" s="19" t="str">
        <f t="array" ref="G41">IF(X41="","",INDEX('Inventory - P06'!$I$16:$I$27,(INT((X41-1)/4)+1)))</f>
        <v/>
      </c>
      <c r="H41" s="19" t="str">
        <f t="array" ref="H41">IF(X41="","",INDEX('Inventory - P06'!$J$16:$J$27,(INT((X41-1)/4)+1)))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19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P06'!$D$16:$D$27,(INT((X42-1)/4)+1)))</f>
        <v/>
      </c>
      <c r="F42" s="19" t="str">
        <f t="array" ref="F42">IF(X42="","",INDEX('Inventory - P06'!$E$16:$E$27,(INT((X42-1)/4)+1)))</f>
        <v/>
      </c>
      <c r="G42" s="19" t="str">
        <f t="array" ref="G42">IF(X42="","",INDEX('Inventory - P06'!$I$16:$I$27,(INT((X42-1)/4)+1)))</f>
        <v/>
      </c>
      <c r="H42" s="19" t="str">
        <f t="array" ref="H42">IF(X42="","",INDEX('Inventory - P06'!$J$16:$J$27,(INT((X42-1)/4)+1)))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19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P06'!$D$16:$D$27,(INT((X43-1)/4)+1)))</f>
        <v/>
      </c>
      <c r="F43" s="19" t="str">
        <f t="array" ref="F43">IF(X43="","",INDEX('Inventory - P06'!$E$16:$E$27,(INT((X43-1)/4)+1)))</f>
        <v/>
      </c>
      <c r="G43" s="19" t="str">
        <f t="array" ref="G43">IF(X43="","",INDEX('Inventory - P06'!$I$16:$I$27,(INT((X43-1)/4)+1)))</f>
        <v/>
      </c>
      <c r="H43" s="19" t="str">
        <f t="array" ref="H43">IF(X43="","",INDEX('Inventory - P06'!$J$16:$J$27,(INT((X43-1)/4)+1)))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19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P06'!$D$16:$D$27,(INT((X44-1)/4)+1)))</f>
        <v/>
      </c>
      <c r="F44" s="19" t="str">
        <f t="array" ref="F44">IF(X44="","",INDEX('Inventory - P06'!$E$16:$E$27,(INT((X44-1)/4)+1)))</f>
        <v/>
      </c>
      <c r="G44" s="19" t="str">
        <f t="array" ref="G44">IF(X44="","",INDEX('Inventory - P06'!$I$16:$I$27,(INT((X44-1)/4)+1)))</f>
        <v/>
      </c>
      <c r="H44" s="19" t="str">
        <f t="array" ref="H44">IF(X44="","",INDEX('Inventory - P06'!$J$16:$J$27,(INT((X44-1)/4)+1)))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19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P06'!$D$16:$D$27,(INT((X45-1)/4)+1)))</f>
        <v/>
      </c>
      <c r="F45" s="19" t="str">
        <f t="array" ref="F45">IF(X45="","",INDEX('Inventory - P06'!$E$16:$E$27,(INT((X45-1)/4)+1)))</f>
        <v/>
      </c>
      <c r="G45" s="19" t="str">
        <f t="array" ref="G45">IF(X45="","",INDEX('Inventory - P06'!$I$16:$I$27,(INT((X45-1)/4)+1)))</f>
        <v/>
      </c>
      <c r="H45" s="19" t="str">
        <f t="array" ref="H45">IF(X45="","",INDEX('Inventory - P06'!$J$16:$J$27,(INT((X45-1)/4)+1)))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19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P06'!$D$16:$D$27,(INT((X46-1)/4)+1)))</f>
        <v/>
      </c>
      <c r="F46" s="19" t="str">
        <f t="array" ref="F46">IF(X46="","",INDEX('Inventory - P06'!$E$16:$E$27,(INT((X46-1)/4)+1)))</f>
        <v/>
      </c>
      <c r="G46" s="19" t="str">
        <f t="array" ref="G46">IF(X46="","",INDEX('Inventory - P06'!$I$16:$I$27,(INT((X46-1)/4)+1)))</f>
        <v/>
      </c>
      <c r="H46" s="19" t="str">
        <f t="array" ref="H46">IF(X46="","",INDEX('Inventory - P06'!$J$16:$J$27,(INT((X46-1)/4)+1)))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19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P06'!$D$16:$D$27,(INT((X47-1)/4)+1)))</f>
        <v/>
      </c>
      <c r="F47" s="19" t="str">
        <f t="array" ref="F47">IF(X47="","",INDEX('Inventory - P06'!$E$16:$E$27,(INT((X47-1)/4)+1)))</f>
        <v/>
      </c>
      <c r="G47" s="19" t="str">
        <f t="array" ref="G47">IF(X47="","",INDEX('Inventory - P06'!$I$16:$I$27,(INT((X47-1)/4)+1)))</f>
        <v/>
      </c>
      <c r="H47" s="19" t="str">
        <f t="array" ref="H47">IF(X47="","",INDEX('Inventory - P06'!$J$16:$J$27,(INT((X47-1)/4)+1)))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19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P06'!$D$16:$D$27,(INT((X48-1)/4)+1)))</f>
        <v/>
      </c>
      <c r="F48" s="19" t="str">
        <f t="array" ref="F48">IF(X48="","",INDEX('Inventory - P06'!$E$16:$E$27,(INT((X48-1)/4)+1)))</f>
        <v/>
      </c>
      <c r="G48" s="19" t="str">
        <f t="array" ref="G48">IF(X48="","",INDEX('Inventory - P06'!$I$16:$I$27,(INT((X48-1)/4)+1)))</f>
        <v/>
      </c>
      <c r="H48" s="19" t="str">
        <f t="array" ref="H48">IF(X48="","",INDEX('Inventory - P06'!$J$16:$J$27,(INT((X48-1)/4)+1)))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19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P06'!$D$16:$D$27,(INT((X50-1)/4)+1)))</f>
        <v/>
      </c>
      <c r="F50" s="19" t="str">
        <f t="array" ref="F50">IF(X50="","",INDEX('Inventory - P06'!$E$16:$E$27,(INT((X50-1)/4)+1)))</f>
        <v/>
      </c>
      <c r="G50" s="19" t="str">
        <f t="array" ref="G50">IF(X50="","",INDEX('Inventory - P06'!$I$16:$I$27,(INT((X50-1)/4)+1)))</f>
        <v/>
      </c>
      <c r="H50" s="19" t="str">
        <f t="array" ref="H50">IF(X50="","",INDEX('Inventory - P06'!$J$16:$J$27,(INT((X50-1)/4)+1)))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19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P06'!$D$16:$D$27,(INT((X51-1)/4)+1)))</f>
        <v/>
      </c>
      <c r="F51" s="19" t="str">
        <f t="array" ref="F51">IF(X51="","",INDEX('Inventory - P06'!$E$16:$E$27,(INT((X51-1)/4)+1)))</f>
        <v/>
      </c>
      <c r="G51" s="19" t="str">
        <f t="array" ref="G51">IF(X51="","",INDEX('Inventory - P06'!$I$16:$I$27,(INT((X51-1)/4)+1)))</f>
        <v/>
      </c>
      <c r="H51" s="19" t="str">
        <f t="array" ref="H51">IF(X51="","",INDEX('Inventory - P06'!$J$16:$J$27,(INT((X51-1)/4)+1)))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19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P06'!$D$16:$D$27,(INT((X52-1)/4)+1)))</f>
        <v/>
      </c>
      <c r="F52" s="19" t="str">
        <f t="array" ref="F52">IF(X52="","",INDEX('Inventory - P06'!$E$16:$E$27,(INT((X52-1)/4)+1)))</f>
        <v/>
      </c>
      <c r="G52" s="19" t="str">
        <f t="array" ref="G52">IF(X52="","",INDEX('Inventory - P06'!$I$16:$I$27,(INT((X52-1)/4)+1)))</f>
        <v/>
      </c>
      <c r="H52" s="19" t="str">
        <f t="array" ref="H52">IF(X52="","",INDEX('Inventory - P06'!$J$16:$J$27,(INT((X52-1)/4)+1)))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19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P06'!$D$16:$D$27,(INT((X53-1)/4)+1)))</f>
        <v/>
      </c>
      <c r="F53" s="19" t="str">
        <f t="array" ref="F53">IF(X53="","",INDEX('Inventory - P06'!$E$16:$E$27,(INT((X53-1)/4)+1)))</f>
        <v/>
      </c>
      <c r="G53" s="19" t="str">
        <f t="array" ref="G53">IF(X53="","",INDEX('Inventory - P06'!$I$16:$I$27,(INT((X53-1)/4)+1)))</f>
        <v/>
      </c>
      <c r="H53" s="19" t="str">
        <f t="array" ref="H53">IF(X53="","",INDEX('Inventory - P06'!$J$16:$J$27,(INT((X53-1)/4)+1)))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19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P06'!$D$16:$D$27,(INT((X54-1)/4)+1)))</f>
        <v/>
      </c>
      <c r="F54" s="19" t="str">
        <f t="array" ref="F54">IF(X54="","",INDEX('Inventory - P06'!$E$16:$E$27,(INT((X54-1)/4)+1)))</f>
        <v/>
      </c>
      <c r="G54" s="19" t="str">
        <f t="array" ref="G54">IF(X54="","",INDEX('Inventory - P06'!$I$16:$I$27,(INT((X54-1)/4)+1)))</f>
        <v/>
      </c>
      <c r="H54" s="19" t="str">
        <f t="array" ref="H54">IF(X54="","",INDEX('Inventory - P06'!$J$16:$J$27,(INT((X54-1)/4)+1)))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19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P06'!$D$16:$D$27,(INT((X55-1)/4)+1)))</f>
        <v/>
      </c>
      <c r="F55" s="19" t="str">
        <f t="array" ref="F55">IF(X55="","",INDEX('Inventory - P06'!$E$16:$E$27,(INT((X55-1)/4)+1)))</f>
        <v/>
      </c>
      <c r="G55" s="19" t="str">
        <f t="array" ref="G55">IF(X55="","",INDEX('Inventory - P06'!$I$16:$I$27,(INT((X55-1)/4)+1)))</f>
        <v/>
      </c>
      <c r="H55" s="19" t="str">
        <f t="array" ref="H55">IF(X55="","",INDEX('Inventory - P06'!$J$16:$J$27,(INT((X55-1)/4)+1)))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19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P06'!$D$16:$D$27,(INT((X56-1)/4)+1)))</f>
        <v/>
      </c>
      <c r="F56" s="19" t="str">
        <f t="array" ref="F56">IF(X56="","",INDEX('Inventory - P06'!$E$16:$E$27,(INT((X56-1)/4)+1)))</f>
        <v/>
      </c>
      <c r="G56" s="19" t="str">
        <f t="array" ref="G56">IF(X56="","",INDEX('Inventory - P06'!$I$16:$I$27,(INT((X56-1)/4)+1)))</f>
        <v/>
      </c>
      <c r="H56" s="19" t="str">
        <f t="array" ref="H56">IF(X56="","",INDEX('Inventory - P06'!$J$16:$J$27,(INT((X56-1)/4)+1)))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19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P06'!$D$16:$D$27,(INT((X57-1)/4)+1)))</f>
        <v/>
      </c>
      <c r="F57" s="19" t="str">
        <f t="array" ref="F57">IF(X57="","",INDEX('Inventory - P06'!$E$16:$E$27,(INT((X57-1)/4)+1)))</f>
        <v/>
      </c>
      <c r="G57" s="19" t="str">
        <f t="array" ref="G57">IF(X57="","",INDEX('Inventory - P06'!$I$16:$I$27,(INT((X57-1)/4)+1)))</f>
        <v/>
      </c>
      <c r="H57" s="19" t="str">
        <f t="array" ref="H57">IF(X57="","",INDEX('Inventory - P06'!$J$16:$J$27,(INT((X57-1)/4)+1)))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19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P06'!$D$16:$D$27,(INT((X58-1)/4)+1)))</f>
        <v/>
      </c>
      <c r="F58" s="19" t="str">
        <f t="array" ref="F58">IF(X58="","",INDEX('Inventory - P06'!$E$16:$E$27,(INT((X58-1)/4)+1)))</f>
        <v/>
      </c>
      <c r="G58" s="19" t="str">
        <f t="array" ref="G58">IF(X58="","",INDEX('Inventory - P06'!$I$16:$I$27,(INT((X58-1)/4)+1)))</f>
        <v/>
      </c>
      <c r="H58" s="19" t="str">
        <f t="array" ref="H58">IF(X58="","",INDEX('Inventory - P06'!$J$16:$J$27,(INT((X58-1)/4)+1)))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19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P06'!$D$16:$D$27,(INT((X59-1)/4)+1)))</f>
        <v/>
      </c>
      <c r="F59" s="19" t="str">
        <f t="array" ref="F59">IF(X59="","",INDEX('Inventory - P06'!$E$16:$E$27,(INT((X59-1)/4)+1)))</f>
        <v/>
      </c>
      <c r="G59" s="19" t="str">
        <f t="array" ref="G59">IF(X59="","",INDEX('Inventory - P06'!$I$16:$I$27,(INT((X59-1)/4)+1)))</f>
        <v/>
      </c>
      <c r="H59" s="19" t="str">
        <f t="array" ref="H59">IF(X59="","",INDEX('Inventory - P06'!$J$16:$J$27,(INT((X59-1)/4)+1)))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19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P06'!$D$16:$D$27,(INT((X60-1)/4)+1)))</f>
        <v/>
      </c>
      <c r="F60" s="19" t="str">
        <f t="array" ref="F60">IF(X60="","",INDEX('Inventory - P06'!$E$16:$E$27,(INT((X60-1)/4)+1)))</f>
        <v/>
      </c>
      <c r="G60" s="19" t="str">
        <f t="array" ref="G60">IF(X60="","",INDEX('Inventory - P06'!$I$16:$I$27,(INT((X60-1)/4)+1)))</f>
        <v/>
      </c>
      <c r="H60" s="19" t="str">
        <f t="array" ref="H60">IF(X60="","",INDEX('Inventory - P06'!$J$16:$J$27,(INT((X60-1)/4)+1)))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19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P06'!$D$16:$D$27,(INT((X61-1)/4)+1)))</f>
        <v/>
      </c>
      <c r="F61" s="19" t="str">
        <f t="array" ref="F61">IF(X61="","",INDEX('Inventory - P06'!$E$16:$E$27,(INT((X61-1)/4)+1)))</f>
        <v/>
      </c>
      <c r="G61" s="19" t="str">
        <f t="array" ref="G61">IF(X61="","",INDEX('Inventory - P06'!$I$16:$I$27,(INT((X61-1)/4)+1)))</f>
        <v/>
      </c>
      <c r="H61" s="19" t="str">
        <f t="array" ref="H61">IF(X61="","",INDEX('Inventory - P06'!$J$16:$J$27,(INT((X61-1)/4)+1)))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P06'!E16&lt;1,'Inventory - P06'!F16="",'Inventory - P06'!G16=""),9,MOD('Inventory - P06'!F16+0*'Inventory - P06'!G16/24,1))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P06'!E16&lt;2,'Inventory - P06'!F16="",'Inventory - P06'!G16=""),9,MOD('Inventory - P06'!F16+1*'Inventory - P06'!G16/24,1))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P06'!E16&lt;3,'Inventory - P06'!F16="",'Inventory - P06'!G16=""),9,MOD('Inventory - P06'!F16+2*'Inventory - P06'!G16/24,1))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P06'!E16&lt;4,'Inventory - P06'!F16="",'Inventory - P06'!G16=""),9,MOD('Inventory - P06'!F16+3*'Inventory - P06'!G16/24,1))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P06'!E17&lt;1,'Inventory - P06'!F17="",'Inventory - P06'!G17=""),9,MOD('Inventory - P06'!F17+0*'Inventory - P06'!G17/24,1))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P06'!E17&lt;2,'Inventory - P06'!F17="",'Inventory - P06'!G17=""),9,MOD('Inventory - P06'!F17+1*'Inventory - P06'!G17/24,1))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P06'!E17&lt;3,'Inventory - P06'!F17="",'Inventory - P06'!G17=""),9,MOD('Inventory - P06'!F17+2*'Inventory - P06'!G17/24,1))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P06'!E17&lt;4,'Inventory - P06'!F17="",'Inventory - P06'!G17=""),9,MOD('Inventory - P06'!F17+3*'Inventory - P06'!G17/24,1))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P06'!E18&lt;1,'Inventory - P06'!F18="",'Inventory - P06'!G18=""),9,MOD('Inventory - P06'!F18+0*'Inventory - P06'!G18/24,1))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P06'!E18&lt;2,'Inventory - P06'!F18="",'Inventory - P06'!G18=""),9,MOD('Inventory - P06'!F18+1*'Inventory - P06'!G18/24,1))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P06'!E18&lt;3,'Inventory - P06'!F18="",'Inventory - P06'!G18=""),9,MOD('Inventory - P06'!F18+2*'Inventory - P06'!G18/24,1))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P06'!E18&lt;4,'Inventory - P06'!F18="",'Inventory - P06'!G18=""),9,MOD('Inventory - P06'!F18+3*'Inventory - P06'!G18/24,1))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P06'!E19&lt;1,'Inventory - P06'!F19="",'Inventory - P06'!G19=""),9,MOD('Inventory - P06'!F19+0*'Inventory - P06'!G19/24,1))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P06'!E19&lt;2,'Inventory - P06'!F19="",'Inventory - P06'!G19=""),9,MOD('Inventory - P06'!F19+1*'Inventory - P06'!G19/24,1))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P06'!E19&lt;3,'Inventory - P06'!F19="",'Inventory - P06'!G19=""),9,MOD('Inventory - P06'!F19+2*'Inventory - P06'!G19/24,1))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P06'!E19&lt;4,'Inventory - P06'!F19="",'Inventory - P06'!G19=""),9,MOD('Inventory - P06'!F19+3*'Inventory - P06'!G19/24,1))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P06'!E20&lt;1,'Inventory - P06'!F20="",'Inventory - P06'!G20=""),9,MOD('Inventory - P06'!F20+0*'Inventory - P06'!G20/24,1))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P06'!E20&lt;2,'Inventory - P06'!F20="",'Inventory - P06'!G20=""),9,MOD('Inventory - P06'!F20+1*'Inventory - P06'!G20/24,1))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P06'!E20&lt;3,'Inventory - P06'!F20="",'Inventory - P06'!G20=""),9,MOD('Inventory - P06'!F20+2*'Inventory - P06'!G20/24,1))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P06'!E20&lt;4,'Inventory - P06'!F20="",'Inventory - P06'!G20=""),9,MOD('Inventory - P06'!F20+3*'Inventory - P06'!G20/24,1))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P06'!E21&lt;1,'Inventory - P06'!F21="",'Inventory - P06'!G21=""),9,MOD('Inventory - P06'!F21+0*'Inventory - P06'!G21/24,1))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P06'!E21&lt;2,'Inventory - P06'!F21="",'Inventory - P06'!G21=""),9,MOD('Inventory - P06'!F21+1*'Inventory - P06'!G21/24,1))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P06'!E21&lt;3,'Inventory - P06'!F21="",'Inventory - P06'!G21=""),9,MOD('Inventory - P06'!F21+2*'Inventory - P06'!G21/24,1))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P06'!E21&lt;4,'Inventory - P06'!F21="",'Inventory - P06'!G21=""),9,MOD('Inventory - P06'!F21+3*'Inventory - P06'!G21/24,1))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P06'!E22&lt;1,'Inventory - P06'!F22="",'Inventory - P06'!G22=""),9,MOD('Inventory - P06'!F22+0*'Inventory - P06'!G22/24,1))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P06'!E22&lt;2,'Inventory - P06'!F22="",'Inventory - P06'!G22=""),9,MOD('Inventory - P06'!F22+1*'Inventory - P06'!G22/24,1))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P06'!E22&lt;3,'Inventory - P06'!F22="",'Inventory - P06'!G22=""),9,MOD('Inventory - P06'!F22+2*'Inventory - P06'!G22/24,1))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P06'!E22&lt;4,'Inventory - P06'!F22="",'Inventory - P06'!G22=""),9,MOD('Inventory - P06'!F22+3*'Inventory - P06'!G22/24,1))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P06'!E23&lt;1,'Inventory - P06'!F23="",'Inventory - P06'!G23=""),9,MOD('Inventory - P06'!F23+0*'Inventory - P06'!G23/24,1))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P06'!E23&lt;2,'Inventory - P06'!F23="",'Inventory - P06'!G23=""),9,MOD('Inventory - P06'!F23+1*'Inventory - P06'!G23/24,1))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P06'!E23&lt;3,'Inventory - P06'!F23="",'Inventory - P06'!G23=""),9,MOD('Inventory - P06'!F23+2*'Inventory - P06'!G23/24,1))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P06'!E23&lt;4,'Inventory - P06'!F23="",'Inventory - P06'!G23=""),9,MOD('Inventory - P06'!F23+3*'Inventory - P06'!G23/24,1))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P06'!E24&lt;1,'Inventory - P06'!F24="",'Inventory - P06'!G24=""),9,MOD('Inventory - P06'!F24+0*'Inventory - P06'!G24/24,1))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P06'!E24&lt;2,'Inventory - P06'!F24="",'Inventory - P06'!G24=""),9,MOD('Inventory - P06'!F24+1*'Inventory - P06'!G24/24,1))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P06'!E24&lt;3,'Inventory - P06'!F24="",'Inventory - P06'!G24=""),9,MOD('Inventory - P06'!F24+2*'Inventory - P06'!G24/24,1))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P06'!E24&lt;4,'Inventory - P06'!F24="",'Inventory - P06'!G24=""),9,MOD('Inventory - P06'!F24+3*'Inventory - P06'!G24/24,1))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P06'!E25&lt;1,'Inventory - P06'!F25="",'Inventory - P06'!G25=""),9,MOD('Inventory - P06'!F25+0*'Inventory - P06'!G25/24,1))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P06'!E25&lt;2,'Inventory - P06'!F25="",'Inventory - P06'!G25=""),9,MOD('Inventory - P06'!F25+1*'Inventory - P06'!G25/24,1))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P06'!E25&lt;3,'Inventory - P06'!F25="",'Inventory - P06'!G25=""),9,MOD('Inventory - P06'!F25+2*'Inventory - P06'!G25/24,1))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P06'!E25&lt;4,'Inventory - P06'!F25="",'Inventory - P06'!G25=""),9,MOD('Inventory - P06'!F25+3*'Inventory - P06'!G25/24,1))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P06'!E26&lt;1,'Inventory - P06'!F26="",'Inventory - P06'!G26=""),9,MOD('Inventory - P06'!F26+0*'Inventory - P06'!G26/24,1))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P06'!E26&lt;2,'Inventory - P06'!F26="",'Inventory - P06'!G26=""),9,MOD('Inventory - P06'!F26+1*'Inventory - P06'!G26/24,1))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P06'!E26&lt;3,'Inventory - P06'!F26="",'Inventory - P06'!G26=""),9,MOD('Inventory - P06'!F26+2*'Inventory - P06'!G26/24,1))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P06'!E26&lt;4,'Inventory - P06'!F26="",'Inventory - P06'!G26=""),9,MOD('Inventory - P06'!F26+3*'Inventory - P06'!G26/24,1))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P06'!E27&lt;1,'Inventory - P06'!F27="",'Inventory - P06'!G27=""),9,MOD('Inventory - P06'!F27+0*'Inventory - P06'!G27/24,1))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P06'!E27&lt;2,'Inventory - P06'!F27="",'Inventory - P06'!G27=""),9,MOD('Inventory - P06'!F27+1*'Inventory - P06'!G27/24,1))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P06'!E27&lt;3,'Inventory - P06'!F27="",'Inventory - P06'!G27=""),9,MOD('Inventory - P06'!F27+2*'Inventory - P06'!G27/24,1))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P06'!E27&lt;4,'Inventory - P06'!F27="",'Inventory - P06'!G27=""),9,MOD('Inventory - P06'!F27+3*'Inventory - P06'!G27/24,1))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Tracker'!S11="","","INV-"&amp;SUBSTITUTE('Client Needs Tracker'!S11," ",""))</f>
        <v>INV-M-4A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Tracker'!B11="","(Add client on Client Needs Tracker, row 11)",'Client Needs Tracker'!B11)</f>
        <v>(Add client on Client Needs Tracker, row 11)</v>
      </c>
      <c r="B6" s="104"/>
      <c r="C6" s="104"/>
      <c r="D6" s="104"/>
      <c r="E6" s="104"/>
      <c r="F6" s="105" t="str">
        <f>'Client Needs Tracker'!A11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Tracker'!C11="","",'Client Needs Tracker'!C11)</f>
        <v/>
      </c>
      <c r="B8" s="104"/>
      <c r="C8" s="104"/>
      <c r="D8" s="104"/>
      <c r="E8" s="104"/>
      <c r="F8" s="108" t="str">
        <f>'Client Needs Tracker'!E11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Tracker'!F11="","",'Client Needs Tracker'!F11)</f>
        <v/>
      </c>
      <c r="B10" s="104"/>
      <c r="C10" s="104"/>
      <c r="D10" s="104"/>
      <c r="E10" s="104"/>
      <c r="F10" s="110" t="str">
        <f>IF('Client Status Board'!G11="","",'Client Status Board'!G11)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Board'!L11="","",'Client Status Board'!L11)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ht="15.0" customHeight="1">
      <c r="A3" s="130" t="str">
        <f>IF('Inventory - P07'!A6="","(Enter name in Inventory - P07)",'Inventory - P07'!A6)</f>
        <v>(Add client on Client Needs Tracker, row 11)</v>
      </c>
      <c r="B3" s="131"/>
      <c r="C3" s="131"/>
      <c r="D3" s="131"/>
      <c r="E3" s="131"/>
      <c r="F3" s="132" t="str">
        <f>IF('Inventory - P07'!F6="","(Enter ID in Inventory - P07)","Member ID: "&amp;'Inventory - P07'!F6)</f>
        <v>(Enter ID in Inventory - P07)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Tracker'!S11="","","INV-"&amp;SUBSTITUTE('Client Needs Tracker'!S11," ",""))</f>
        <v>INV-M-4A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P07'!F8="","-",'Inventory - P07'!F8)</f>
        <v>LOC: -</v>
      </c>
      <c r="C5" s="3"/>
      <c r="D5" s="134" t="str">
        <f>"Case Manager: "&amp;IF('Inventory - P07'!A10="","-",'Inventory - P07'!A10)</f>
        <v>Case Manager: -</v>
      </c>
      <c r="F5" s="3"/>
      <c r="G5" s="134" t="str">
        <f>"Doctor: "&amp;IF('Inventory - P07'!F10="","-",'Inventory - P07'!F10)</f>
        <v>Doctor: -</v>
      </c>
      <c r="I5" s="3"/>
      <c r="J5" s="134" t="str">
        <f>"Pharmacy: "&amp;IF('Inventory - P07'!A12="","-",'Inventory - P07'!A12)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P07'!A14="","",'Inventory - P07'!A14)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P07'!A14="","",'Inventory - P07'!A14+0)</f>
        <v/>
      </c>
      <c r="J8" s="139"/>
      <c r="K8" s="138" t="str">
        <f>IF('Inventory - P07'!A14="","",'Inventory - P07'!A14+1)</f>
        <v/>
      </c>
      <c r="L8" s="139"/>
      <c r="M8" s="138" t="str">
        <f>IF('Inventory - P07'!A14="","",'Inventory - P07'!A14+2)</f>
        <v/>
      </c>
      <c r="N8" s="139"/>
      <c r="O8" s="138" t="str">
        <f>IF('Inventory - P07'!A14="","",'Inventory - P07'!A14+3)</f>
        <v/>
      </c>
      <c r="P8" s="139"/>
      <c r="Q8" s="138" t="str">
        <f>IF('Inventory - P07'!A14="","",'Inventory - P07'!A14+4)</f>
        <v/>
      </c>
      <c r="R8" s="139"/>
      <c r="S8" s="138" t="str">
        <f>IF('Inventory - P07'!A14="","",'Inventory - P07'!A14+5)</f>
        <v/>
      </c>
      <c r="T8" s="139"/>
      <c r="U8" s="138" t="str">
        <f>IF('Inventory - P07'!A14="","",'Inventory - P07'!A14+6)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19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P07'!$D$16:$D$27,(INT((X11-1)/4)+1)))</f>
        <v/>
      </c>
      <c r="F11" s="19" t="str">
        <f t="array" ref="F11">IF(X11="","",INDEX('Inventory - P07'!$E$16:$E$27,(INT((X11-1)/4)+1)))</f>
        <v/>
      </c>
      <c r="G11" s="19" t="str">
        <f t="array" ref="G11">IF(X11="","",INDEX('Inventory - P07'!$I$16:$I$27,(INT((X11-1)/4)+1)))</f>
        <v/>
      </c>
      <c r="H11" s="19" t="str">
        <f t="array" ref="H11">IF(X11="","",INDEX('Inventory - P07'!$J$16:$J$27,(INT((X11-1)/4)+1)))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19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P07'!$D$16:$D$27,(INT((X12-1)/4)+1)))</f>
        <v/>
      </c>
      <c r="F12" s="19" t="str">
        <f t="array" ref="F12">IF(X12="","",INDEX('Inventory - P07'!$E$16:$E$27,(INT((X12-1)/4)+1)))</f>
        <v/>
      </c>
      <c r="G12" s="19" t="str">
        <f t="array" ref="G12">IF(X12="","",INDEX('Inventory - P07'!$I$16:$I$27,(INT((X12-1)/4)+1)))</f>
        <v/>
      </c>
      <c r="H12" s="19" t="str">
        <f t="array" ref="H12">IF(X12="","",INDEX('Inventory - P07'!$J$16:$J$27,(INT((X12-1)/4)+1)))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19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P07'!$D$16:$D$27,(INT((X13-1)/4)+1)))</f>
        <v/>
      </c>
      <c r="F13" s="19" t="str">
        <f t="array" ref="F13">IF(X13="","",INDEX('Inventory - P07'!$E$16:$E$27,(INT((X13-1)/4)+1)))</f>
        <v/>
      </c>
      <c r="G13" s="19" t="str">
        <f t="array" ref="G13">IF(X13="","",INDEX('Inventory - P07'!$I$16:$I$27,(INT((X13-1)/4)+1)))</f>
        <v/>
      </c>
      <c r="H13" s="19" t="str">
        <f t="array" ref="H13">IF(X13="","",INDEX('Inventory - P07'!$J$16:$J$27,(INT((X13-1)/4)+1)))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19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P07'!$D$16:$D$27,(INT((X14-1)/4)+1)))</f>
        <v/>
      </c>
      <c r="F14" s="19" t="str">
        <f t="array" ref="F14">IF(X14="","",INDEX('Inventory - P07'!$E$16:$E$27,(INT((X14-1)/4)+1)))</f>
        <v/>
      </c>
      <c r="G14" s="19" t="str">
        <f t="array" ref="G14">IF(X14="","",INDEX('Inventory - P07'!$I$16:$I$27,(INT((X14-1)/4)+1)))</f>
        <v/>
      </c>
      <c r="H14" s="19" t="str">
        <f t="array" ref="H14">IF(X14="","",INDEX('Inventory - P07'!$J$16:$J$27,(INT((X14-1)/4)+1)))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19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P07'!$D$16:$D$27,(INT((X15-1)/4)+1)))</f>
        <v/>
      </c>
      <c r="F15" s="19" t="str">
        <f t="array" ref="F15">IF(X15="","",INDEX('Inventory - P07'!$E$16:$E$27,(INT((X15-1)/4)+1)))</f>
        <v/>
      </c>
      <c r="G15" s="19" t="str">
        <f t="array" ref="G15">IF(X15="","",INDEX('Inventory - P07'!$I$16:$I$27,(INT((X15-1)/4)+1)))</f>
        <v/>
      </c>
      <c r="H15" s="19" t="str">
        <f t="array" ref="H15">IF(X15="","",INDEX('Inventory - P07'!$J$16:$J$27,(INT((X15-1)/4)+1)))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19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P07'!$D$16:$D$27,(INT((X16-1)/4)+1)))</f>
        <v/>
      </c>
      <c r="F16" s="19" t="str">
        <f t="array" ref="F16">IF(X16="","",INDEX('Inventory - P07'!$E$16:$E$27,(INT((X16-1)/4)+1)))</f>
        <v/>
      </c>
      <c r="G16" s="19" t="str">
        <f t="array" ref="G16">IF(X16="","",INDEX('Inventory - P07'!$I$16:$I$27,(INT((X16-1)/4)+1)))</f>
        <v/>
      </c>
      <c r="H16" s="19" t="str">
        <f t="array" ref="H16">IF(X16="","",INDEX('Inventory - P07'!$J$16:$J$27,(INT((X16-1)/4)+1)))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19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P07'!$D$16:$D$27,(INT((X17-1)/4)+1)))</f>
        <v/>
      </c>
      <c r="F17" s="19" t="str">
        <f t="array" ref="F17">IF(X17="","",INDEX('Inventory - P07'!$E$16:$E$27,(INT((X17-1)/4)+1)))</f>
        <v/>
      </c>
      <c r="G17" s="19" t="str">
        <f t="array" ref="G17">IF(X17="","",INDEX('Inventory - P07'!$I$16:$I$27,(INT((X17-1)/4)+1)))</f>
        <v/>
      </c>
      <c r="H17" s="19" t="str">
        <f t="array" ref="H17">IF(X17="","",INDEX('Inventory - P07'!$J$16:$J$27,(INT((X17-1)/4)+1)))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19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P07'!$D$16:$D$27,(INT((X18-1)/4)+1)))</f>
        <v/>
      </c>
      <c r="F18" s="19" t="str">
        <f t="array" ref="F18">IF(X18="","",INDEX('Inventory - P07'!$E$16:$E$27,(INT((X18-1)/4)+1)))</f>
        <v/>
      </c>
      <c r="G18" s="19" t="str">
        <f t="array" ref="G18">IF(X18="","",INDEX('Inventory - P07'!$I$16:$I$27,(INT((X18-1)/4)+1)))</f>
        <v/>
      </c>
      <c r="H18" s="19" t="str">
        <f t="array" ref="H18">IF(X18="","",INDEX('Inventory - P07'!$J$16:$J$27,(INT((X18-1)/4)+1)))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19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P07'!$D$16:$D$27,(INT((X19-1)/4)+1)))</f>
        <v/>
      </c>
      <c r="F19" s="19" t="str">
        <f t="array" ref="F19">IF(X19="","",INDEX('Inventory - P07'!$E$16:$E$27,(INT((X19-1)/4)+1)))</f>
        <v/>
      </c>
      <c r="G19" s="19" t="str">
        <f t="array" ref="G19">IF(X19="","",INDEX('Inventory - P07'!$I$16:$I$27,(INT((X19-1)/4)+1)))</f>
        <v/>
      </c>
      <c r="H19" s="19" t="str">
        <f t="array" ref="H19">IF(X19="","",INDEX('Inventory - P07'!$J$16:$J$27,(INT((X19-1)/4)+1)))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19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P07'!$D$16:$D$27,(INT((X20-1)/4)+1)))</f>
        <v/>
      </c>
      <c r="F20" s="19" t="str">
        <f t="array" ref="F20">IF(X20="","",INDEX('Inventory - P07'!$E$16:$E$27,(INT((X20-1)/4)+1)))</f>
        <v/>
      </c>
      <c r="G20" s="19" t="str">
        <f t="array" ref="G20">IF(X20="","",INDEX('Inventory - P07'!$I$16:$I$27,(INT((X20-1)/4)+1)))</f>
        <v/>
      </c>
      <c r="H20" s="19" t="str">
        <f t="array" ref="H20">IF(X20="","",INDEX('Inventory - P07'!$J$16:$J$27,(INT((X20-1)/4)+1)))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19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P07'!$D$16:$D$27,(INT((X21-1)/4)+1)))</f>
        <v/>
      </c>
      <c r="F21" s="19" t="str">
        <f t="array" ref="F21">IF(X21="","",INDEX('Inventory - P07'!$E$16:$E$27,(INT((X21-1)/4)+1)))</f>
        <v/>
      </c>
      <c r="G21" s="19" t="str">
        <f t="array" ref="G21">IF(X21="","",INDEX('Inventory - P07'!$I$16:$I$27,(INT((X21-1)/4)+1)))</f>
        <v/>
      </c>
      <c r="H21" s="19" t="str">
        <f t="array" ref="H21">IF(X21="","",INDEX('Inventory - P07'!$J$16:$J$27,(INT((X21-1)/4)+1)))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19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P07'!$D$16:$D$27,(INT((X22-1)/4)+1)))</f>
        <v/>
      </c>
      <c r="F22" s="19" t="str">
        <f t="array" ref="F22">IF(X22="","",INDEX('Inventory - P07'!$E$16:$E$27,(INT((X22-1)/4)+1)))</f>
        <v/>
      </c>
      <c r="G22" s="19" t="str">
        <f t="array" ref="G22">IF(X22="","",INDEX('Inventory - P07'!$I$16:$I$27,(INT((X22-1)/4)+1)))</f>
        <v/>
      </c>
      <c r="H22" s="19" t="str">
        <f t="array" ref="H22">IF(X22="","",INDEX('Inventory - P07'!$J$16:$J$27,(INT((X22-1)/4)+1)))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19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P07'!$D$16:$D$27,(INT((X24-1)/4)+1)))</f>
        <v/>
      </c>
      <c r="F24" s="19" t="str">
        <f t="array" ref="F24">IF(X24="","",INDEX('Inventory - P07'!$E$16:$E$27,(INT((X24-1)/4)+1)))</f>
        <v/>
      </c>
      <c r="G24" s="19" t="str">
        <f t="array" ref="G24">IF(X24="","",INDEX('Inventory - P07'!$I$16:$I$27,(INT((X24-1)/4)+1)))</f>
        <v/>
      </c>
      <c r="H24" s="19" t="str">
        <f t="array" ref="H24">IF(X24="","",INDEX('Inventory - P07'!$J$16:$J$27,(INT((X24-1)/4)+1)))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19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P07'!$D$16:$D$27,(INT((X25-1)/4)+1)))</f>
        <v/>
      </c>
      <c r="F25" s="19" t="str">
        <f t="array" ref="F25">IF(X25="","",INDEX('Inventory - P07'!$E$16:$E$27,(INT((X25-1)/4)+1)))</f>
        <v/>
      </c>
      <c r="G25" s="19" t="str">
        <f t="array" ref="G25">IF(X25="","",INDEX('Inventory - P07'!$I$16:$I$27,(INT((X25-1)/4)+1)))</f>
        <v/>
      </c>
      <c r="H25" s="19" t="str">
        <f t="array" ref="H25">IF(X25="","",INDEX('Inventory - P07'!$J$16:$J$27,(INT((X25-1)/4)+1)))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19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P07'!$D$16:$D$27,(INT((X26-1)/4)+1)))</f>
        <v/>
      </c>
      <c r="F26" s="19" t="str">
        <f t="array" ref="F26">IF(X26="","",INDEX('Inventory - P07'!$E$16:$E$27,(INT((X26-1)/4)+1)))</f>
        <v/>
      </c>
      <c r="G26" s="19" t="str">
        <f t="array" ref="G26">IF(X26="","",INDEX('Inventory - P07'!$I$16:$I$27,(INT((X26-1)/4)+1)))</f>
        <v/>
      </c>
      <c r="H26" s="19" t="str">
        <f t="array" ref="H26">IF(X26="","",INDEX('Inventory - P07'!$J$16:$J$27,(INT((X26-1)/4)+1)))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19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P07'!$D$16:$D$27,(INT((X27-1)/4)+1)))</f>
        <v/>
      </c>
      <c r="F27" s="19" t="str">
        <f t="array" ref="F27">IF(X27="","",INDEX('Inventory - P07'!$E$16:$E$27,(INT((X27-1)/4)+1)))</f>
        <v/>
      </c>
      <c r="G27" s="19" t="str">
        <f t="array" ref="G27">IF(X27="","",INDEX('Inventory - P07'!$I$16:$I$27,(INT((X27-1)/4)+1)))</f>
        <v/>
      </c>
      <c r="H27" s="19" t="str">
        <f t="array" ref="H27">IF(X27="","",INDEX('Inventory - P07'!$J$16:$J$27,(INT((X27-1)/4)+1)))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19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P07'!$D$16:$D$27,(INT((X28-1)/4)+1)))</f>
        <v/>
      </c>
      <c r="F28" s="19" t="str">
        <f t="array" ref="F28">IF(X28="","",INDEX('Inventory - P07'!$E$16:$E$27,(INT((X28-1)/4)+1)))</f>
        <v/>
      </c>
      <c r="G28" s="19" t="str">
        <f t="array" ref="G28">IF(X28="","",INDEX('Inventory - P07'!$I$16:$I$27,(INT((X28-1)/4)+1)))</f>
        <v/>
      </c>
      <c r="H28" s="19" t="str">
        <f t="array" ref="H28">IF(X28="","",INDEX('Inventory - P07'!$J$16:$J$27,(INT((X28-1)/4)+1)))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19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P07'!$D$16:$D$27,(INT((X29-1)/4)+1)))</f>
        <v/>
      </c>
      <c r="F29" s="19" t="str">
        <f t="array" ref="F29">IF(X29="","",INDEX('Inventory - P07'!$E$16:$E$27,(INT((X29-1)/4)+1)))</f>
        <v/>
      </c>
      <c r="G29" s="19" t="str">
        <f t="array" ref="G29">IF(X29="","",INDEX('Inventory - P07'!$I$16:$I$27,(INT((X29-1)/4)+1)))</f>
        <v/>
      </c>
      <c r="H29" s="19" t="str">
        <f t="array" ref="H29">IF(X29="","",INDEX('Inventory - P07'!$J$16:$J$27,(INT((X29-1)/4)+1)))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19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P07'!$D$16:$D$27,(INT((X30-1)/4)+1)))</f>
        <v/>
      </c>
      <c r="F30" s="19" t="str">
        <f t="array" ref="F30">IF(X30="","",INDEX('Inventory - P07'!$E$16:$E$27,(INT((X30-1)/4)+1)))</f>
        <v/>
      </c>
      <c r="G30" s="19" t="str">
        <f t="array" ref="G30">IF(X30="","",INDEX('Inventory - P07'!$I$16:$I$27,(INT((X30-1)/4)+1)))</f>
        <v/>
      </c>
      <c r="H30" s="19" t="str">
        <f t="array" ref="H30">IF(X30="","",INDEX('Inventory - P07'!$J$16:$J$27,(INT((X30-1)/4)+1)))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19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P07'!$D$16:$D$27,(INT((X31-1)/4)+1)))</f>
        <v/>
      </c>
      <c r="F31" s="19" t="str">
        <f t="array" ref="F31">IF(X31="","",INDEX('Inventory - P07'!$E$16:$E$27,(INT((X31-1)/4)+1)))</f>
        <v/>
      </c>
      <c r="G31" s="19" t="str">
        <f t="array" ref="G31">IF(X31="","",INDEX('Inventory - P07'!$I$16:$I$27,(INT((X31-1)/4)+1)))</f>
        <v/>
      </c>
      <c r="H31" s="19" t="str">
        <f t="array" ref="H31">IF(X31="","",INDEX('Inventory - P07'!$J$16:$J$27,(INT((X31-1)/4)+1)))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19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P07'!$D$16:$D$27,(INT((X32-1)/4)+1)))</f>
        <v/>
      </c>
      <c r="F32" s="19" t="str">
        <f t="array" ref="F32">IF(X32="","",INDEX('Inventory - P07'!$E$16:$E$27,(INT((X32-1)/4)+1)))</f>
        <v/>
      </c>
      <c r="G32" s="19" t="str">
        <f t="array" ref="G32">IF(X32="","",INDEX('Inventory - P07'!$I$16:$I$27,(INT((X32-1)/4)+1)))</f>
        <v/>
      </c>
      <c r="H32" s="19" t="str">
        <f t="array" ref="H32">IF(X32="","",INDEX('Inventory - P07'!$J$16:$J$27,(INT((X32-1)/4)+1)))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19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P07'!$D$16:$D$27,(INT((X33-1)/4)+1)))</f>
        <v/>
      </c>
      <c r="F33" s="19" t="str">
        <f t="array" ref="F33">IF(X33="","",INDEX('Inventory - P07'!$E$16:$E$27,(INT((X33-1)/4)+1)))</f>
        <v/>
      </c>
      <c r="G33" s="19" t="str">
        <f t="array" ref="G33">IF(X33="","",INDEX('Inventory - P07'!$I$16:$I$27,(INT((X33-1)/4)+1)))</f>
        <v/>
      </c>
      <c r="H33" s="19" t="str">
        <f t="array" ref="H33">IF(X33="","",INDEX('Inventory - P07'!$J$16:$J$27,(INT((X33-1)/4)+1)))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19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P07'!$D$16:$D$27,(INT((X34-1)/4)+1)))</f>
        <v/>
      </c>
      <c r="F34" s="19" t="str">
        <f t="array" ref="F34">IF(X34="","",INDEX('Inventory - P07'!$E$16:$E$27,(INT((X34-1)/4)+1)))</f>
        <v/>
      </c>
      <c r="G34" s="19" t="str">
        <f t="array" ref="G34">IF(X34="","",INDEX('Inventory - P07'!$I$16:$I$27,(INT((X34-1)/4)+1)))</f>
        <v/>
      </c>
      <c r="H34" s="19" t="str">
        <f t="array" ref="H34">IF(X34="","",INDEX('Inventory - P07'!$J$16:$J$27,(INT((X34-1)/4)+1)))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19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P07'!$D$16:$D$27,(INT((X35-1)/4)+1)))</f>
        <v/>
      </c>
      <c r="F35" s="19" t="str">
        <f t="array" ref="F35">IF(X35="","",INDEX('Inventory - P07'!$E$16:$E$27,(INT((X35-1)/4)+1)))</f>
        <v/>
      </c>
      <c r="G35" s="19" t="str">
        <f t="array" ref="G35">IF(X35="","",INDEX('Inventory - P07'!$I$16:$I$27,(INT((X35-1)/4)+1)))</f>
        <v/>
      </c>
      <c r="H35" s="19" t="str">
        <f t="array" ref="H35">IF(X35="","",INDEX('Inventory - P07'!$J$16:$J$27,(INT((X35-1)/4)+1)))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19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P07'!$D$16:$D$27,(INT((X37-1)/4)+1)))</f>
        <v/>
      </c>
      <c r="F37" s="19" t="str">
        <f t="array" ref="F37">IF(X37="","",INDEX('Inventory - P07'!$E$16:$E$27,(INT((X37-1)/4)+1)))</f>
        <v/>
      </c>
      <c r="G37" s="19" t="str">
        <f t="array" ref="G37">IF(X37="","",INDEX('Inventory - P07'!$I$16:$I$27,(INT((X37-1)/4)+1)))</f>
        <v/>
      </c>
      <c r="H37" s="19" t="str">
        <f t="array" ref="H37">IF(X37="","",INDEX('Inventory - P07'!$J$16:$J$27,(INT((X37-1)/4)+1)))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19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P07'!$D$16:$D$27,(INT((X38-1)/4)+1)))</f>
        <v/>
      </c>
      <c r="F38" s="19" t="str">
        <f t="array" ref="F38">IF(X38="","",INDEX('Inventory - P07'!$E$16:$E$27,(INT((X38-1)/4)+1)))</f>
        <v/>
      </c>
      <c r="G38" s="19" t="str">
        <f t="array" ref="G38">IF(X38="","",INDEX('Inventory - P07'!$I$16:$I$27,(INT((X38-1)/4)+1)))</f>
        <v/>
      </c>
      <c r="H38" s="19" t="str">
        <f t="array" ref="H38">IF(X38="","",INDEX('Inventory - P07'!$J$16:$J$27,(INT((X38-1)/4)+1)))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19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P07'!$D$16:$D$27,(INT((X39-1)/4)+1)))</f>
        <v/>
      </c>
      <c r="F39" s="19" t="str">
        <f t="array" ref="F39">IF(X39="","",INDEX('Inventory - P07'!$E$16:$E$27,(INT((X39-1)/4)+1)))</f>
        <v/>
      </c>
      <c r="G39" s="19" t="str">
        <f t="array" ref="G39">IF(X39="","",INDEX('Inventory - P07'!$I$16:$I$27,(INT((X39-1)/4)+1)))</f>
        <v/>
      </c>
      <c r="H39" s="19" t="str">
        <f t="array" ref="H39">IF(X39="","",INDEX('Inventory - P07'!$J$16:$J$27,(INT((X39-1)/4)+1)))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19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P07'!$D$16:$D$27,(INT((X40-1)/4)+1)))</f>
        <v/>
      </c>
      <c r="F40" s="19" t="str">
        <f t="array" ref="F40">IF(X40="","",INDEX('Inventory - P07'!$E$16:$E$27,(INT((X40-1)/4)+1)))</f>
        <v/>
      </c>
      <c r="G40" s="19" t="str">
        <f t="array" ref="G40">IF(X40="","",INDEX('Inventory - P07'!$I$16:$I$27,(INT((X40-1)/4)+1)))</f>
        <v/>
      </c>
      <c r="H40" s="19" t="str">
        <f t="array" ref="H40">IF(X40="","",INDEX('Inventory - P07'!$J$16:$J$27,(INT((X40-1)/4)+1)))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19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P07'!$D$16:$D$27,(INT((X41-1)/4)+1)))</f>
        <v/>
      </c>
      <c r="F41" s="19" t="str">
        <f t="array" ref="F41">IF(X41="","",INDEX('Inventory - P07'!$E$16:$E$27,(INT((X41-1)/4)+1)))</f>
        <v/>
      </c>
      <c r="G41" s="19" t="str">
        <f t="array" ref="G41">IF(X41="","",INDEX('Inventory - P07'!$I$16:$I$27,(INT((X41-1)/4)+1)))</f>
        <v/>
      </c>
      <c r="H41" s="19" t="str">
        <f t="array" ref="H41">IF(X41="","",INDEX('Inventory - P07'!$J$16:$J$27,(INT((X41-1)/4)+1)))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19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P07'!$D$16:$D$27,(INT((X42-1)/4)+1)))</f>
        <v/>
      </c>
      <c r="F42" s="19" t="str">
        <f t="array" ref="F42">IF(X42="","",INDEX('Inventory - P07'!$E$16:$E$27,(INT((X42-1)/4)+1)))</f>
        <v/>
      </c>
      <c r="G42" s="19" t="str">
        <f t="array" ref="G42">IF(X42="","",INDEX('Inventory - P07'!$I$16:$I$27,(INT((X42-1)/4)+1)))</f>
        <v/>
      </c>
      <c r="H42" s="19" t="str">
        <f t="array" ref="H42">IF(X42="","",INDEX('Inventory - P07'!$J$16:$J$27,(INT((X42-1)/4)+1)))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19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P07'!$D$16:$D$27,(INT((X43-1)/4)+1)))</f>
        <v/>
      </c>
      <c r="F43" s="19" t="str">
        <f t="array" ref="F43">IF(X43="","",INDEX('Inventory - P07'!$E$16:$E$27,(INT((X43-1)/4)+1)))</f>
        <v/>
      </c>
      <c r="G43" s="19" t="str">
        <f t="array" ref="G43">IF(X43="","",INDEX('Inventory - P07'!$I$16:$I$27,(INT((X43-1)/4)+1)))</f>
        <v/>
      </c>
      <c r="H43" s="19" t="str">
        <f t="array" ref="H43">IF(X43="","",INDEX('Inventory - P07'!$J$16:$J$27,(INT((X43-1)/4)+1)))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19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P07'!$D$16:$D$27,(INT((X44-1)/4)+1)))</f>
        <v/>
      </c>
      <c r="F44" s="19" t="str">
        <f t="array" ref="F44">IF(X44="","",INDEX('Inventory - P07'!$E$16:$E$27,(INT((X44-1)/4)+1)))</f>
        <v/>
      </c>
      <c r="G44" s="19" t="str">
        <f t="array" ref="G44">IF(X44="","",INDEX('Inventory - P07'!$I$16:$I$27,(INT((X44-1)/4)+1)))</f>
        <v/>
      </c>
      <c r="H44" s="19" t="str">
        <f t="array" ref="H44">IF(X44="","",INDEX('Inventory - P07'!$J$16:$J$27,(INT((X44-1)/4)+1)))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19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P07'!$D$16:$D$27,(INT((X45-1)/4)+1)))</f>
        <v/>
      </c>
      <c r="F45" s="19" t="str">
        <f t="array" ref="F45">IF(X45="","",INDEX('Inventory - P07'!$E$16:$E$27,(INT((X45-1)/4)+1)))</f>
        <v/>
      </c>
      <c r="G45" s="19" t="str">
        <f t="array" ref="G45">IF(X45="","",INDEX('Inventory - P07'!$I$16:$I$27,(INT((X45-1)/4)+1)))</f>
        <v/>
      </c>
      <c r="H45" s="19" t="str">
        <f t="array" ref="H45">IF(X45="","",INDEX('Inventory - P07'!$J$16:$J$27,(INT((X45-1)/4)+1)))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19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P07'!$D$16:$D$27,(INT((X46-1)/4)+1)))</f>
        <v/>
      </c>
      <c r="F46" s="19" t="str">
        <f t="array" ref="F46">IF(X46="","",INDEX('Inventory - P07'!$E$16:$E$27,(INT((X46-1)/4)+1)))</f>
        <v/>
      </c>
      <c r="G46" s="19" t="str">
        <f t="array" ref="G46">IF(X46="","",INDEX('Inventory - P07'!$I$16:$I$27,(INT((X46-1)/4)+1)))</f>
        <v/>
      </c>
      <c r="H46" s="19" t="str">
        <f t="array" ref="H46">IF(X46="","",INDEX('Inventory - P07'!$J$16:$J$27,(INT((X46-1)/4)+1)))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19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P07'!$D$16:$D$27,(INT((X47-1)/4)+1)))</f>
        <v/>
      </c>
      <c r="F47" s="19" t="str">
        <f t="array" ref="F47">IF(X47="","",INDEX('Inventory - P07'!$E$16:$E$27,(INT((X47-1)/4)+1)))</f>
        <v/>
      </c>
      <c r="G47" s="19" t="str">
        <f t="array" ref="G47">IF(X47="","",INDEX('Inventory - P07'!$I$16:$I$27,(INT((X47-1)/4)+1)))</f>
        <v/>
      </c>
      <c r="H47" s="19" t="str">
        <f t="array" ref="H47">IF(X47="","",INDEX('Inventory - P07'!$J$16:$J$27,(INT((X47-1)/4)+1)))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19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P07'!$D$16:$D$27,(INT((X48-1)/4)+1)))</f>
        <v/>
      </c>
      <c r="F48" s="19" t="str">
        <f t="array" ref="F48">IF(X48="","",INDEX('Inventory - P07'!$E$16:$E$27,(INT((X48-1)/4)+1)))</f>
        <v/>
      </c>
      <c r="G48" s="19" t="str">
        <f t="array" ref="G48">IF(X48="","",INDEX('Inventory - P07'!$I$16:$I$27,(INT((X48-1)/4)+1)))</f>
        <v/>
      </c>
      <c r="H48" s="19" t="str">
        <f t="array" ref="H48">IF(X48="","",INDEX('Inventory - P07'!$J$16:$J$27,(INT((X48-1)/4)+1)))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19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P07'!$D$16:$D$27,(INT((X50-1)/4)+1)))</f>
        <v/>
      </c>
      <c r="F50" s="19" t="str">
        <f t="array" ref="F50">IF(X50="","",INDEX('Inventory - P07'!$E$16:$E$27,(INT((X50-1)/4)+1)))</f>
        <v/>
      </c>
      <c r="G50" s="19" t="str">
        <f t="array" ref="G50">IF(X50="","",INDEX('Inventory - P07'!$I$16:$I$27,(INT((X50-1)/4)+1)))</f>
        <v/>
      </c>
      <c r="H50" s="19" t="str">
        <f t="array" ref="H50">IF(X50="","",INDEX('Inventory - P07'!$J$16:$J$27,(INT((X50-1)/4)+1)))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19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P07'!$D$16:$D$27,(INT((X51-1)/4)+1)))</f>
        <v/>
      </c>
      <c r="F51" s="19" t="str">
        <f t="array" ref="F51">IF(X51="","",INDEX('Inventory - P07'!$E$16:$E$27,(INT((X51-1)/4)+1)))</f>
        <v/>
      </c>
      <c r="G51" s="19" t="str">
        <f t="array" ref="G51">IF(X51="","",INDEX('Inventory - P07'!$I$16:$I$27,(INT((X51-1)/4)+1)))</f>
        <v/>
      </c>
      <c r="H51" s="19" t="str">
        <f t="array" ref="H51">IF(X51="","",INDEX('Inventory - P07'!$J$16:$J$27,(INT((X51-1)/4)+1)))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19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P07'!$D$16:$D$27,(INT((X52-1)/4)+1)))</f>
        <v/>
      </c>
      <c r="F52" s="19" t="str">
        <f t="array" ref="F52">IF(X52="","",INDEX('Inventory - P07'!$E$16:$E$27,(INT((X52-1)/4)+1)))</f>
        <v/>
      </c>
      <c r="G52" s="19" t="str">
        <f t="array" ref="G52">IF(X52="","",INDEX('Inventory - P07'!$I$16:$I$27,(INT((X52-1)/4)+1)))</f>
        <v/>
      </c>
      <c r="H52" s="19" t="str">
        <f t="array" ref="H52">IF(X52="","",INDEX('Inventory - P07'!$J$16:$J$27,(INT((X52-1)/4)+1)))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19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P07'!$D$16:$D$27,(INT((X53-1)/4)+1)))</f>
        <v/>
      </c>
      <c r="F53" s="19" t="str">
        <f t="array" ref="F53">IF(X53="","",INDEX('Inventory - P07'!$E$16:$E$27,(INT((X53-1)/4)+1)))</f>
        <v/>
      </c>
      <c r="G53" s="19" t="str">
        <f t="array" ref="G53">IF(X53="","",INDEX('Inventory - P07'!$I$16:$I$27,(INT((X53-1)/4)+1)))</f>
        <v/>
      </c>
      <c r="H53" s="19" t="str">
        <f t="array" ref="H53">IF(X53="","",INDEX('Inventory - P07'!$J$16:$J$27,(INT((X53-1)/4)+1)))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19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P07'!$D$16:$D$27,(INT((X54-1)/4)+1)))</f>
        <v/>
      </c>
      <c r="F54" s="19" t="str">
        <f t="array" ref="F54">IF(X54="","",INDEX('Inventory - P07'!$E$16:$E$27,(INT((X54-1)/4)+1)))</f>
        <v/>
      </c>
      <c r="G54" s="19" t="str">
        <f t="array" ref="G54">IF(X54="","",INDEX('Inventory - P07'!$I$16:$I$27,(INT((X54-1)/4)+1)))</f>
        <v/>
      </c>
      <c r="H54" s="19" t="str">
        <f t="array" ref="H54">IF(X54="","",INDEX('Inventory - P07'!$J$16:$J$27,(INT((X54-1)/4)+1)))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19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P07'!$D$16:$D$27,(INT((X55-1)/4)+1)))</f>
        <v/>
      </c>
      <c r="F55" s="19" t="str">
        <f t="array" ref="F55">IF(X55="","",INDEX('Inventory - P07'!$E$16:$E$27,(INT((X55-1)/4)+1)))</f>
        <v/>
      </c>
      <c r="G55" s="19" t="str">
        <f t="array" ref="G55">IF(X55="","",INDEX('Inventory - P07'!$I$16:$I$27,(INT((X55-1)/4)+1)))</f>
        <v/>
      </c>
      <c r="H55" s="19" t="str">
        <f t="array" ref="H55">IF(X55="","",INDEX('Inventory - P07'!$J$16:$J$27,(INT((X55-1)/4)+1)))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19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P07'!$D$16:$D$27,(INT((X56-1)/4)+1)))</f>
        <v/>
      </c>
      <c r="F56" s="19" t="str">
        <f t="array" ref="F56">IF(X56="","",INDEX('Inventory - P07'!$E$16:$E$27,(INT((X56-1)/4)+1)))</f>
        <v/>
      </c>
      <c r="G56" s="19" t="str">
        <f t="array" ref="G56">IF(X56="","",INDEX('Inventory - P07'!$I$16:$I$27,(INT((X56-1)/4)+1)))</f>
        <v/>
      </c>
      <c r="H56" s="19" t="str">
        <f t="array" ref="H56">IF(X56="","",INDEX('Inventory - P07'!$J$16:$J$27,(INT((X56-1)/4)+1)))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19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P07'!$D$16:$D$27,(INT((X57-1)/4)+1)))</f>
        <v/>
      </c>
      <c r="F57" s="19" t="str">
        <f t="array" ref="F57">IF(X57="","",INDEX('Inventory - P07'!$E$16:$E$27,(INT((X57-1)/4)+1)))</f>
        <v/>
      </c>
      <c r="G57" s="19" t="str">
        <f t="array" ref="G57">IF(X57="","",INDEX('Inventory - P07'!$I$16:$I$27,(INT((X57-1)/4)+1)))</f>
        <v/>
      </c>
      <c r="H57" s="19" t="str">
        <f t="array" ref="H57">IF(X57="","",INDEX('Inventory - P07'!$J$16:$J$27,(INT((X57-1)/4)+1)))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19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P07'!$D$16:$D$27,(INT((X58-1)/4)+1)))</f>
        <v/>
      </c>
      <c r="F58" s="19" t="str">
        <f t="array" ref="F58">IF(X58="","",INDEX('Inventory - P07'!$E$16:$E$27,(INT((X58-1)/4)+1)))</f>
        <v/>
      </c>
      <c r="G58" s="19" t="str">
        <f t="array" ref="G58">IF(X58="","",INDEX('Inventory - P07'!$I$16:$I$27,(INT((X58-1)/4)+1)))</f>
        <v/>
      </c>
      <c r="H58" s="19" t="str">
        <f t="array" ref="H58">IF(X58="","",INDEX('Inventory - P07'!$J$16:$J$27,(INT((X58-1)/4)+1)))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19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P07'!$D$16:$D$27,(INT((X59-1)/4)+1)))</f>
        <v/>
      </c>
      <c r="F59" s="19" t="str">
        <f t="array" ref="F59">IF(X59="","",INDEX('Inventory - P07'!$E$16:$E$27,(INT((X59-1)/4)+1)))</f>
        <v/>
      </c>
      <c r="G59" s="19" t="str">
        <f t="array" ref="G59">IF(X59="","",INDEX('Inventory - P07'!$I$16:$I$27,(INT((X59-1)/4)+1)))</f>
        <v/>
      </c>
      <c r="H59" s="19" t="str">
        <f t="array" ref="H59">IF(X59="","",INDEX('Inventory - P07'!$J$16:$J$27,(INT((X59-1)/4)+1)))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19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P07'!$D$16:$D$27,(INT((X60-1)/4)+1)))</f>
        <v/>
      </c>
      <c r="F60" s="19" t="str">
        <f t="array" ref="F60">IF(X60="","",INDEX('Inventory - P07'!$E$16:$E$27,(INT((X60-1)/4)+1)))</f>
        <v/>
      </c>
      <c r="G60" s="19" t="str">
        <f t="array" ref="G60">IF(X60="","",INDEX('Inventory - P07'!$I$16:$I$27,(INT((X60-1)/4)+1)))</f>
        <v/>
      </c>
      <c r="H60" s="19" t="str">
        <f t="array" ref="H60">IF(X60="","",INDEX('Inventory - P07'!$J$16:$J$27,(INT((X60-1)/4)+1)))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19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P07'!$D$16:$D$27,(INT((X61-1)/4)+1)))</f>
        <v/>
      </c>
      <c r="F61" s="19" t="str">
        <f t="array" ref="F61">IF(X61="","",INDEX('Inventory - P07'!$E$16:$E$27,(INT((X61-1)/4)+1)))</f>
        <v/>
      </c>
      <c r="G61" s="19" t="str">
        <f t="array" ref="G61">IF(X61="","",INDEX('Inventory - P07'!$I$16:$I$27,(INT((X61-1)/4)+1)))</f>
        <v/>
      </c>
      <c r="H61" s="19" t="str">
        <f t="array" ref="H61">IF(X61="","",INDEX('Inventory - P07'!$J$16:$J$27,(INT((X61-1)/4)+1)))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P07'!E16&lt;1,'Inventory - P07'!F16="",'Inventory - P07'!G16=""),9,MOD('Inventory - P07'!F16+0*'Inventory - P07'!G16/24,1))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P07'!E16&lt;2,'Inventory - P07'!F16="",'Inventory - P07'!G16=""),9,MOD('Inventory - P07'!F16+1*'Inventory - P07'!G16/24,1))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P07'!E16&lt;3,'Inventory - P07'!F16="",'Inventory - P07'!G16=""),9,MOD('Inventory - P07'!F16+2*'Inventory - P07'!G16/24,1))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P07'!E16&lt;4,'Inventory - P07'!F16="",'Inventory - P07'!G16=""),9,MOD('Inventory - P07'!F16+3*'Inventory - P07'!G16/24,1))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P07'!E17&lt;1,'Inventory - P07'!F17="",'Inventory - P07'!G17=""),9,MOD('Inventory - P07'!F17+0*'Inventory - P07'!G17/24,1))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P07'!E17&lt;2,'Inventory - P07'!F17="",'Inventory - P07'!G17=""),9,MOD('Inventory - P07'!F17+1*'Inventory - P07'!G17/24,1))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P07'!E17&lt;3,'Inventory - P07'!F17="",'Inventory - P07'!G17=""),9,MOD('Inventory - P07'!F17+2*'Inventory - P07'!G17/24,1))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P07'!E17&lt;4,'Inventory - P07'!F17="",'Inventory - P07'!G17=""),9,MOD('Inventory - P07'!F17+3*'Inventory - P07'!G17/24,1))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P07'!E18&lt;1,'Inventory - P07'!F18="",'Inventory - P07'!G18=""),9,MOD('Inventory - P07'!F18+0*'Inventory - P07'!G18/24,1))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P07'!E18&lt;2,'Inventory - P07'!F18="",'Inventory - P07'!G18=""),9,MOD('Inventory - P07'!F18+1*'Inventory - P07'!G18/24,1))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P07'!E18&lt;3,'Inventory - P07'!F18="",'Inventory - P07'!G18=""),9,MOD('Inventory - P07'!F18+2*'Inventory - P07'!G18/24,1))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P07'!E18&lt;4,'Inventory - P07'!F18="",'Inventory - P07'!G18=""),9,MOD('Inventory - P07'!F18+3*'Inventory - P07'!G18/24,1))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P07'!E19&lt;1,'Inventory - P07'!F19="",'Inventory - P07'!G19=""),9,MOD('Inventory - P07'!F19+0*'Inventory - P07'!G19/24,1))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P07'!E19&lt;2,'Inventory - P07'!F19="",'Inventory - P07'!G19=""),9,MOD('Inventory - P07'!F19+1*'Inventory - P07'!G19/24,1))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P07'!E19&lt;3,'Inventory - P07'!F19="",'Inventory - P07'!G19=""),9,MOD('Inventory - P07'!F19+2*'Inventory - P07'!G19/24,1))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P07'!E19&lt;4,'Inventory - P07'!F19="",'Inventory - P07'!G19=""),9,MOD('Inventory - P07'!F19+3*'Inventory - P07'!G19/24,1))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P07'!E20&lt;1,'Inventory - P07'!F20="",'Inventory - P07'!G20=""),9,MOD('Inventory - P07'!F20+0*'Inventory - P07'!G20/24,1))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P07'!E20&lt;2,'Inventory - P07'!F20="",'Inventory - P07'!G20=""),9,MOD('Inventory - P07'!F20+1*'Inventory - P07'!G20/24,1))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P07'!E20&lt;3,'Inventory - P07'!F20="",'Inventory - P07'!G20=""),9,MOD('Inventory - P07'!F20+2*'Inventory - P07'!G20/24,1))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P07'!E20&lt;4,'Inventory - P07'!F20="",'Inventory - P07'!G20=""),9,MOD('Inventory - P07'!F20+3*'Inventory - P07'!G20/24,1))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P07'!E21&lt;1,'Inventory - P07'!F21="",'Inventory - P07'!G21=""),9,MOD('Inventory - P07'!F21+0*'Inventory - P07'!G21/24,1))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P07'!E21&lt;2,'Inventory - P07'!F21="",'Inventory - P07'!G21=""),9,MOD('Inventory - P07'!F21+1*'Inventory - P07'!G21/24,1))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P07'!E21&lt;3,'Inventory - P07'!F21="",'Inventory - P07'!G21=""),9,MOD('Inventory - P07'!F21+2*'Inventory - P07'!G21/24,1))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P07'!E21&lt;4,'Inventory - P07'!F21="",'Inventory - P07'!G21=""),9,MOD('Inventory - P07'!F21+3*'Inventory - P07'!G21/24,1))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P07'!E22&lt;1,'Inventory - P07'!F22="",'Inventory - P07'!G22=""),9,MOD('Inventory - P07'!F22+0*'Inventory - P07'!G22/24,1))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P07'!E22&lt;2,'Inventory - P07'!F22="",'Inventory - P07'!G22=""),9,MOD('Inventory - P07'!F22+1*'Inventory - P07'!G22/24,1))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P07'!E22&lt;3,'Inventory - P07'!F22="",'Inventory - P07'!G22=""),9,MOD('Inventory - P07'!F22+2*'Inventory - P07'!G22/24,1))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P07'!E22&lt;4,'Inventory - P07'!F22="",'Inventory - P07'!G22=""),9,MOD('Inventory - P07'!F22+3*'Inventory - P07'!G22/24,1))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P07'!E23&lt;1,'Inventory - P07'!F23="",'Inventory - P07'!G23=""),9,MOD('Inventory - P07'!F23+0*'Inventory - P07'!G23/24,1))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P07'!E23&lt;2,'Inventory - P07'!F23="",'Inventory - P07'!G23=""),9,MOD('Inventory - P07'!F23+1*'Inventory - P07'!G23/24,1))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P07'!E23&lt;3,'Inventory - P07'!F23="",'Inventory - P07'!G23=""),9,MOD('Inventory - P07'!F23+2*'Inventory - P07'!G23/24,1))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P07'!E23&lt;4,'Inventory - P07'!F23="",'Inventory - P07'!G23=""),9,MOD('Inventory - P07'!F23+3*'Inventory - P07'!G23/24,1))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P07'!E24&lt;1,'Inventory - P07'!F24="",'Inventory - P07'!G24=""),9,MOD('Inventory - P07'!F24+0*'Inventory - P07'!G24/24,1))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P07'!E24&lt;2,'Inventory - P07'!F24="",'Inventory - P07'!G24=""),9,MOD('Inventory - P07'!F24+1*'Inventory - P07'!G24/24,1))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P07'!E24&lt;3,'Inventory - P07'!F24="",'Inventory - P07'!G24=""),9,MOD('Inventory - P07'!F24+2*'Inventory - P07'!G24/24,1))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P07'!E24&lt;4,'Inventory - P07'!F24="",'Inventory - P07'!G24=""),9,MOD('Inventory - P07'!F24+3*'Inventory - P07'!G24/24,1))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P07'!E25&lt;1,'Inventory - P07'!F25="",'Inventory - P07'!G25=""),9,MOD('Inventory - P07'!F25+0*'Inventory - P07'!G25/24,1))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P07'!E25&lt;2,'Inventory - P07'!F25="",'Inventory - P07'!G25=""),9,MOD('Inventory - P07'!F25+1*'Inventory - P07'!G25/24,1))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P07'!E25&lt;3,'Inventory - P07'!F25="",'Inventory - P07'!G25=""),9,MOD('Inventory - P07'!F25+2*'Inventory - P07'!G25/24,1))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P07'!E25&lt;4,'Inventory - P07'!F25="",'Inventory - P07'!G25=""),9,MOD('Inventory - P07'!F25+3*'Inventory - P07'!G25/24,1))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P07'!E26&lt;1,'Inventory - P07'!F26="",'Inventory - P07'!G26=""),9,MOD('Inventory - P07'!F26+0*'Inventory - P07'!G26/24,1))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P07'!E26&lt;2,'Inventory - P07'!F26="",'Inventory - P07'!G26=""),9,MOD('Inventory - P07'!F26+1*'Inventory - P07'!G26/24,1))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P07'!E26&lt;3,'Inventory - P07'!F26="",'Inventory - P07'!G26=""),9,MOD('Inventory - P07'!F26+2*'Inventory - P07'!G26/24,1))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P07'!E26&lt;4,'Inventory - P07'!F26="",'Inventory - P07'!G26=""),9,MOD('Inventory - P07'!F26+3*'Inventory - P07'!G26/24,1))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P07'!E27&lt;1,'Inventory - P07'!F27="",'Inventory - P07'!G27=""),9,MOD('Inventory - P07'!F27+0*'Inventory - P07'!G27/24,1))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P07'!E27&lt;2,'Inventory - P07'!F27="",'Inventory - P07'!G27=""),9,MOD('Inventory - P07'!F27+1*'Inventory - P07'!G27/24,1))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P07'!E27&lt;3,'Inventory - P07'!F27="",'Inventory - P07'!G27=""),9,MOD('Inventory - P07'!F27+2*'Inventory - P07'!G27/24,1))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P07'!E27&lt;4,'Inventory - P07'!F27="",'Inventory - P07'!G27=""),9,MOD('Inventory - P07'!F27+3*'Inventory - P07'!G27/24,1))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Tracker'!S12="","","INV-"&amp;SUBSTITUTE('Client Needs Tracker'!S12," ",""))</f>
        <v>INV-M-4B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Tracker'!B12="","(Add client on Client Needs Tracker, row 12)",'Client Needs Tracker'!B12)</f>
        <v>(Add client on Client Needs Tracker, row 12)</v>
      </c>
      <c r="B6" s="104"/>
      <c r="C6" s="104"/>
      <c r="D6" s="104"/>
      <c r="E6" s="104"/>
      <c r="F6" s="105" t="str">
        <f>'Client Needs Tracker'!A12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Tracker'!C12="","",'Client Needs Tracker'!C12)</f>
        <v/>
      </c>
      <c r="B8" s="104"/>
      <c r="C8" s="104"/>
      <c r="D8" s="104"/>
      <c r="E8" s="104"/>
      <c r="F8" s="108" t="str">
        <f>'Client Needs Tracker'!E12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Tracker'!F12="","",'Client Needs Tracker'!F12)</f>
        <v/>
      </c>
      <c r="B10" s="104"/>
      <c r="C10" s="104"/>
      <c r="D10" s="104"/>
      <c r="E10" s="104"/>
      <c r="F10" s="110" t="str">
        <f>IF('Client Status Board'!G12="","",'Client Status Board'!G12)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Board'!L12="","",'Client Status Board'!L12)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ht="15.0" customHeight="1">
      <c r="A3" s="130" t="str">
        <f>IF('Inventory - P08'!A6="","(Enter name in Inventory - P08)",'Inventory - P08'!A6)</f>
        <v>(Add client on Client Needs Tracker, row 12)</v>
      </c>
      <c r="B3" s="131"/>
      <c r="C3" s="131"/>
      <c r="D3" s="131"/>
      <c r="E3" s="131"/>
      <c r="F3" s="132" t="str">
        <f>IF('Inventory - P08'!F6="","(Enter ID in Inventory - P08)","Member ID: "&amp;'Inventory - P08'!F6)</f>
        <v>(Enter ID in Inventory - P08)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Tracker'!S12="","","INV-"&amp;SUBSTITUTE('Client Needs Tracker'!S12," ",""))</f>
        <v>INV-M-4B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P08'!F8="","-",'Inventory - P08'!F8)</f>
        <v>LOC: -</v>
      </c>
      <c r="C5" s="3"/>
      <c r="D5" s="134" t="str">
        <f>"Case Manager: "&amp;IF('Inventory - P08'!A10="","-",'Inventory - P08'!A10)</f>
        <v>Case Manager: -</v>
      </c>
      <c r="F5" s="3"/>
      <c r="G5" s="134" t="str">
        <f>"Doctor: "&amp;IF('Inventory - P08'!F10="","-",'Inventory - P08'!F10)</f>
        <v>Doctor: -</v>
      </c>
      <c r="I5" s="3"/>
      <c r="J5" s="134" t="str">
        <f>"Pharmacy: "&amp;IF('Inventory - P08'!A12="","-",'Inventory - P08'!A12)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P08'!A14="","",'Inventory - P08'!A14)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P08'!A14="","",'Inventory - P08'!A14+0)</f>
        <v/>
      </c>
      <c r="J8" s="139"/>
      <c r="K8" s="138" t="str">
        <f>IF('Inventory - P08'!A14="","",'Inventory - P08'!A14+1)</f>
        <v/>
      </c>
      <c r="L8" s="139"/>
      <c r="M8" s="138" t="str">
        <f>IF('Inventory - P08'!A14="","",'Inventory - P08'!A14+2)</f>
        <v/>
      </c>
      <c r="N8" s="139"/>
      <c r="O8" s="138" t="str">
        <f>IF('Inventory - P08'!A14="","",'Inventory - P08'!A14+3)</f>
        <v/>
      </c>
      <c r="P8" s="139"/>
      <c r="Q8" s="138" t="str">
        <f>IF('Inventory - P08'!A14="","",'Inventory - P08'!A14+4)</f>
        <v/>
      </c>
      <c r="R8" s="139"/>
      <c r="S8" s="138" t="str">
        <f>IF('Inventory - P08'!A14="","",'Inventory - P08'!A14+5)</f>
        <v/>
      </c>
      <c r="T8" s="139"/>
      <c r="U8" s="138" t="str">
        <f>IF('Inventory - P08'!A14="","",'Inventory - P08'!A14+6)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19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P08'!$D$16:$D$27,(INT((X11-1)/4)+1)))</f>
        <v/>
      </c>
      <c r="F11" s="19" t="str">
        <f t="array" ref="F11">IF(X11="","",INDEX('Inventory - P08'!$E$16:$E$27,(INT((X11-1)/4)+1)))</f>
        <v/>
      </c>
      <c r="G11" s="19" t="str">
        <f t="array" ref="G11">IF(X11="","",INDEX('Inventory - P08'!$I$16:$I$27,(INT((X11-1)/4)+1)))</f>
        <v/>
      </c>
      <c r="H11" s="19" t="str">
        <f t="array" ref="H11">IF(X11="","",INDEX('Inventory - P08'!$J$16:$J$27,(INT((X11-1)/4)+1)))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19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P08'!$D$16:$D$27,(INT((X12-1)/4)+1)))</f>
        <v/>
      </c>
      <c r="F12" s="19" t="str">
        <f t="array" ref="F12">IF(X12="","",INDEX('Inventory - P08'!$E$16:$E$27,(INT((X12-1)/4)+1)))</f>
        <v/>
      </c>
      <c r="G12" s="19" t="str">
        <f t="array" ref="G12">IF(X12="","",INDEX('Inventory - P08'!$I$16:$I$27,(INT((X12-1)/4)+1)))</f>
        <v/>
      </c>
      <c r="H12" s="19" t="str">
        <f t="array" ref="H12">IF(X12="","",INDEX('Inventory - P08'!$J$16:$J$27,(INT((X12-1)/4)+1)))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19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P08'!$D$16:$D$27,(INT((X13-1)/4)+1)))</f>
        <v/>
      </c>
      <c r="F13" s="19" t="str">
        <f t="array" ref="F13">IF(X13="","",INDEX('Inventory - P08'!$E$16:$E$27,(INT((X13-1)/4)+1)))</f>
        <v/>
      </c>
      <c r="G13" s="19" t="str">
        <f t="array" ref="G13">IF(X13="","",INDEX('Inventory - P08'!$I$16:$I$27,(INT((X13-1)/4)+1)))</f>
        <v/>
      </c>
      <c r="H13" s="19" t="str">
        <f t="array" ref="H13">IF(X13="","",INDEX('Inventory - P08'!$J$16:$J$27,(INT((X13-1)/4)+1)))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19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P08'!$D$16:$D$27,(INT((X14-1)/4)+1)))</f>
        <v/>
      </c>
      <c r="F14" s="19" t="str">
        <f t="array" ref="F14">IF(X14="","",INDEX('Inventory - P08'!$E$16:$E$27,(INT((X14-1)/4)+1)))</f>
        <v/>
      </c>
      <c r="G14" s="19" t="str">
        <f t="array" ref="G14">IF(X14="","",INDEX('Inventory - P08'!$I$16:$I$27,(INT((X14-1)/4)+1)))</f>
        <v/>
      </c>
      <c r="H14" s="19" t="str">
        <f t="array" ref="H14">IF(X14="","",INDEX('Inventory - P08'!$J$16:$J$27,(INT((X14-1)/4)+1)))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19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P08'!$D$16:$D$27,(INT((X15-1)/4)+1)))</f>
        <v/>
      </c>
      <c r="F15" s="19" t="str">
        <f t="array" ref="F15">IF(X15="","",INDEX('Inventory - P08'!$E$16:$E$27,(INT((X15-1)/4)+1)))</f>
        <v/>
      </c>
      <c r="G15" s="19" t="str">
        <f t="array" ref="G15">IF(X15="","",INDEX('Inventory - P08'!$I$16:$I$27,(INT((X15-1)/4)+1)))</f>
        <v/>
      </c>
      <c r="H15" s="19" t="str">
        <f t="array" ref="H15">IF(X15="","",INDEX('Inventory - P08'!$J$16:$J$27,(INT((X15-1)/4)+1)))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19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P08'!$D$16:$D$27,(INT((X16-1)/4)+1)))</f>
        <v/>
      </c>
      <c r="F16" s="19" t="str">
        <f t="array" ref="F16">IF(X16="","",INDEX('Inventory - P08'!$E$16:$E$27,(INT((X16-1)/4)+1)))</f>
        <v/>
      </c>
      <c r="G16" s="19" t="str">
        <f t="array" ref="G16">IF(X16="","",INDEX('Inventory - P08'!$I$16:$I$27,(INT((X16-1)/4)+1)))</f>
        <v/>
      </c>
      <c r="H16" s="19" t="str">
        <f t="array" ref="H16">IF(X16="","",INDEX('Inventory - P08'!$J$16:$J$27,(INT((X16-1)/4)+1)))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19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P08'!$D$16:$D$27,(INT((X17-1)/4)+1)))</f>
        <v/>
      </c>
      <c r="F17" s="19" t="str">
        <f t="array" ref="F17">IF(X17="","",INDEX('Inventory - P08'!$E$16:$E$27,(INT((X17-1)/4)+1)))</f>
        <v/>
      </c>
      <c r="G17" s="19" t="str">
        <f t="array" ref="G17">IF(X17="","",INDEX('Inventory - P08'!$I$16:$I$27,(INT((X17-1)/4)+1)))</f>
        <v/>
      </c>
      <c r="H17" s="19" t="str">
        <f t="array" ref="H17">IF(X17="","",INDEX('Inventory - P08'!$J$16:$J$27,(INT((X17-1)/4)+1)))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19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P08'!$D$16:$D$27,(INT((X18-1)/4)+1)))</f>
        <v/>
      </c>
      <c r="F18" s="19" t="str">
        <f t="array" ref="F18">IF(X18="","",INDEX('Inventory - P08'!$E$16:$E$27,(INT((X18-1)/4)+1)))</f>
        <v/>
      </c>
      <c r="G18" s="19" t="str">
        <f t="array" ref="G18">IF(X18="","",INDEX('Inventory - P08'!$I$16:$I$27,(INT((X18-1)/4)+1)))</f>
        <v/>
      </c>
      <c r="H18" s="19" t="str">
        <f t="array" ref="H18">IF(X18="","",INDEX('Inventory - P08'!$J$16:$J$27,(INT((X18-1)/4)+1)))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19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P08'!$D$16:$D$27,(INT((X19-1)/4)+1)))</f>
        <v/>
      </c>
      <c r="F19" s="19" t="str">
        <f t="array" ref="F19">IF(X19="","",INDEX('Inventory - P08'!$E$16:$E$27,(INT((X19-1)/4)+1)))</f>
        <v/>
      </c>
      <c r="G19" s="19" t="str">
        <f t="array" ref="G19">IF(X19="","",INDEX('Inventory - P08'!$I$16:$I$27,(INT((X19-1)/4)+1)))</f>
        <v/>
      </c>
      <c r="H19" s="19" t="str">
        <f t="array" ref="H19">IF(X19="","",INDEX('Inventory - P08'!$J$16:$J$27,(INT((X19-1)/4)+1)))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19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P08'!$D$16:$D$27,(INT((X20-1)/4)+1)))</f>
        <v/>
      </c>
      <c r="F20" s="19" t="str">
        <f t="array" ref="F20">IF(X20="","",INDEX('Inventory - P08'!$E$16:$E$27,(INT((X20-1)/4)+1)))</f>
        <v/>
      </c>
      <c r="G20" s="19" t="str">
        <f t="array" ref="G20">IF(X20="","",INDEX('Inventory - P08'!$I$16:$I$27,(INT((X20-1)/4)+1)))</f>
        <v/>
      </c>
      <c r="H20" s="19" t="str">
        <f t="array" ref="H20">IF(X20="","",INDEX('Inventory - P08'!$J$16:$J$27,(INT((X20-1)/4)+1)))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19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P08'!$D$16:$D$27,(INT((X21-1)/4)+1)))</f>
        <v/>
      </c>
      <c r="F21" s="19" t="str">
        <f t="array" ref="F21">IF(X21="","",INDEX('Inventory - P08'!$E$16:$E$27,(INT((X21-1)/4)+1)))</f>
        <v/>
      </c>
      <c r="G21" s="19" t="str">
        <f t="array" ref="G21">IF(X21="","",INDEX('Inventory - P08'!$I$16:$I$27,(INT((X21-1)/4)+1)))</f>
        <v/>
      </c>
      <c r="H21" s="19" t="str">
        <f t="array" ref="H21">IF(X21="","",INDEX('Inventory - P08'!$J$16:$J$27,(INT((X21-1)/4)+1)))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19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P08'!$D$16:$D$27,(INT((X22-1)/4)+1)))</f>
        <v/>
      </c>
      <c r="F22" s="19" t="str">
        <f t="array" ref="F22">IF(X22="","",INDEX('Inventory - P08'!$E$16:$E$27,(INT((X22-1)/4)+1)))</f>
        <v/>
      </c>
      <c r="G22" s="19" t="str">
        <f t="array" ref="G22">IF(X22="","",INDEX('Inventory - P08'!$I$16:$I$27,(INT((X22-1)/4)+1)))</f>
        <v/>
      </c>
      <c r="H22" s="19" t="str">
        <f t="array" ref="H22">IF(X22="","",INDEX('Inventory - P08'!$J$16:$J$27,(INT((X22-1)/4)+1)))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19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P08'!$D$16:$D$27,(INT((X24-1)/4)+1)))</f>
        <v/>
      </c>
      <c r="F24" s="19" t="str">
        <f t="array" ref="F24">IF(X24="","",INDEX('Inventory - P08'!$E$16:$E$27,(INT((X24-1)/4)+1)))</f>
        <v/>
      </c>
      <c r="G24" s="19" t="str">
        <f t="array" ref="G24">IF(X24="","",INDEX('Inventory - P08'!$I$16:$I$27,(INT((X24-1)/4)+1)))</f>
        <v/>
      </c>
      <c r="H24" s="19" t="str">
        <f t="array" ref="H24">IF(X24="","",INDEX('Inventory - P08'!$J$16:$J$27,(INT((X24-1)/4)+1)))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19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P08'!$D$16:$D$27,(INT((X25-1)/4)+1)))</f>
        <v/>
      </c>
      <c r="F25" s="19" t="str">
        <f t="array" ref="F25">IF(X25="","",INDEX('Inventory - P08'!$E$16:$E$27,(INT((X25-1)/4)+1)))</f>
        <v/>
      </c>
      <c r="G25" s="19" t="str">
        <f t="array" ref="G25">IF(X25="","",INDEX('Inventory - P08'!$I$16:$I$27,(INT((X25-1)/4)+1)))</f>
        <v/>
      </c>
      <c r="H25" s="19" t="str">
        <f t="array" ref="H25">IF(X25="","",INDEX('Inventory - P08'!$J$16:$J$27,(INT((X25-1)/4)+1)))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19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P08'!$D$16:$D$27,(INT((X26-1)/4)+1)))</f>
        <v/>
      </c>
      <c r="F26" s="19" t="str">
        <f t="array" ref="F26">IF(X26="","",INDEX('Inventory - P08'!$E$16:$E$27,(INT((X26-1)/4)+1)))</f>
        <v/>
      </c>
      <c r="G26" s="19" t="str">
        <f t="array" ref="G26">IF(X26="","",INDEX('Inventory - P08'!$I$16:$I$27,(INT((X26-1)/4)+1)))</f>
        <v/>
      </c>
      <c r="H26" s="19" t="str">
        <f t="array" ref="H26">IF(X26="","",INDEX('Inventory - P08'!$J$16:$J$27,(INT((X26-1)/4)+1)))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19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P08'!$D$16:$D$27,(INT((X27-1)/4)+1)))</f>
        <v/>
      </c>
      <c r="F27" s="19" t="str">
        <f t="array" ref="F27">IF(X27="","",INDEX('Inventory - P08'!$E$16:$E$27,(INT((X27-1)/4)+1)))</f>
        <v/>
      </c>
      <c r="G27" s="19" t="str">
        <f t="array" ref="G27">IF(X27="","",INDEX('Inventory - P08'!$I$16:$I$27,(INT((X27-1)/4)+1)))</f>
        <v/>
      </c>
      <c r="H27" s="19" t="str">
        <f t="array" ref="H27">IF(X27="","",INDEX('Inventory - P08'!$J$16:$J$27,(INT((X27-1)/4)+1)))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19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P08'!$D$16:$D$27,(INT((X28-1)/4)+1)))</f>
        <v/>
      </c>
      <c r="F28" s="19" t="str">
        <f t="array" ref="F28">IF(X28="","",INDEX('Inventory - P08'!$E$16:$E$27,(INT((X28-1)/4)+1)))</f>
        <v/>
      </c>
      <c r="G28" s="19" t="str">
        <f t="array" ref="G28">IF(X28="","",INDEX('Inventory - P08'!$I$16:$I$27,(INT((X28-1)/4)+1)))</f>
        <v/>
      </c>
      <c r="H28" s="19" t="str">
        <f t="array" ref="H28">IF(X28="","",INDEX('Inventory - P08'!$J$16:$J$27,(INT((X28-1)/4)+1)))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19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P08'!$D$16:$D$27,(INT((X29-1)/4)+1)))</f>
        <v/>
      </c>
      <c r="F29" s="19" t="str">
        <f t="array" ref="F29">IF(X29="","",INDEX('Inventory - P08'!$E$16:$E$27,(INT((X29-1)/4)+1)))</f>
        <v/>
      </c>
      <c r="G29" s="19" t="str">
        <f t="array" ref="G29">IF(X29="","",INDEX('Inventory - P08'!$I$16:$I$27,(INT((X29-1)/4)+1)))</f>
        <v/>
      </c>
      <c r="H29" s="19" t="str">
        <f t="array" ref="H29">IF(X29="","",INDEX('Inventory - P08'!$J$16:$J$27,(INT((X29-1)/4)+1)))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19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P08'!$D$16:$D$27,(INT((X30-1)/4)+1)))</f>
        <v/>
      </c>
      <c r="F30" s="19" t="str">
        <f t="array" ref="F30">IF(X30="","",INDEX('Inventory - P08'!$E$16:$E$27,(INT((X30-1)/4)+1)))</f>
        <v/>
      </c>
      <c r="G30" s="19" t="str">
        <f t="array" ref="G30">IF(X30="","",INDEX('Inventory - P08'!$I$16:$I$27,(INT((X30-1)/4)+1)))</f>
        <v/>
      </c>
      <c r="H30" s="19" t="str">
        <f t="array" ref="H30">IF(X30="","",INDEX('Inventory - P08'!$J$16:$J$27,(INT((X30-1)/4)+1)))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19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P08'!$D$16:$D$27,(INT((X31-1)/4)+1)))</f>
        <v/>
      </c>
      <c r="F31" s="19" t="str">
        <f t="array" ref="F31">IF(X31="","",INDEX('Inventory - P08'!$E$16:$E$27,(INT((X31-1)/4)+1)))</f>
        <v/>
      </c>
      <c r="G31" s="19" t="str">
        <f t="array" ref="G31">IF(X31="","",INDEX('Inventory - P08'!$I$16:$I$27,(INT((X31-1)/4)+1)))</f>
        <v/>
      </c>
      <c r="H31" s="19" t="str">
        <f t="array" ref="H31">IF(X31="","",INDEX('Inventory - P08'!$J$16:$J$27,(INT((X31-1)/4)+1)))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19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P08'!$D$16:$D$27,(INT((X32-1)/4)+1)))</f>
        <v/>
      </c>
      <c r="F32" s="19" t="str">
        <f t="array" ref="F32">IF(X32="","",INDEX('Inventory - P08'!$E$16:$E$27,(INT((X32-1)/4)+1)))</f>
        <v/>
      </c>
      <c r="G32" s="19" t="str">
        <f t="array" ref="G32">IF(X32="","",INDEX('Inventory - P08'!$I$16:$I$27,(INT((X32-1)/4)+1)))</f>
        <v/>
      </c>
      <c r="H32" s="19" t="str">
        <f t="array" ref="H32">IF(X32="","",INDEX('Inventory - P08'!$J$16:$J$27,(INT((X32-1)/4)+1)))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19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P08'!$D$16:$D$27,(INT((X33-1)/4)+1)))</f>
        <v/>
      </c>
      <c r="F33" s="19" t="str">
        <f t="array" ref="F33">IF(X33="","",INDEX('Inventory - P08'!$E$16:$E$27,(INT((X33-1)/4)+1)))</f>
        <v/>
      </c>
      <c r="G33" s="19" t="str">
        <f t="array" ref="G33">IF(X33="","",INDEX('Inventory - P08'!$I$16:$I$27,(INT((X33-1)/4)+1)))</f>
        <v/>
      </c>
      <c r="H33" s="19" t="str">
        <f t="array" ref="H33">IF(X33="","",INDEX('Inventory - P08'!$J$16:$J$27,(INT((X33-1)/4)+1)))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19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P08'!$D$16:$D$27,(INT((X34-1)/4)+1)))</f>
        <v/>
      </c>
      <c r="F34" s="19" t="str">
        <f t="array" ref="F34">IF(X34="","",INDEX('Inventory - P08'!$E$16:$E$27,(INT((X34-1)/4)+1)))</f>
        <v/>
      </c>
      <c r="G34" s="19" t="str">
        <f t="array" ref="G34">IF(X34="","",INDEX('Inventory - P08'!$I$16:$I$27,(INT((X34-1)/4)+1)))</f>
        <v/>
      </c>
      <c r="H34" s="19" t="str">
        <f t="array" ref="H34">IF(X34="","",INDEX('Inventory - P08'!$J$16:$J$27,(INT((X34-1)/4)+1)))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19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P08'!$D$16:$D$27,(INT((X35-1)/4)+1)))</f>
        <v/>
      </c>
      <c r="F35" s="19" t="str">
        <f t="array" ref="F35">IF(X35="","",INDEX('Inventory - P08'!$E$16:$E$27,(INT((X35-1)/4)+1)))</f>
        <v/>
      </c>
      <c r="G35" s="19" t="str">
        <f t="array" ref="G35">IF(X35="","",INDEX('Inventory - P08'!$I$16:$I$27,(INT((X35-1)/4)+1)))</f>
        <v/>
      </c>
      <c r="H35" s="19" t="str">
        <f t="array" ref="H35">IF(X35="","",INDEX('Inventory - P08'!$J$16:$J$27,(INT((X35-1)/4)+1)))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19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P08'!$D$16:$D$27,(INT((X37-1)/4)+1)))</f>
        <v/>
      </c>
      <c r="F37" s="19" t="str">
        <f t="array" ref="F37">IF(X37="","",INDEX('Inventory - P08'!$E$16:$E$27,(INT((X37-1)/4)+1)))</f>
        <v/>
      </c>
      <c r="G37" s="19" t="str">
        <f t="array" ref="G37">IF(X37="","",INDEX('Inventory - P08'!$I$16:$I$27,(INT((X37-1)/4)+1)))</f>
        <v/>
      </c>
      <c r="H37" s="19" t="str">
        <f t="array" ref="H37">IF(X37="","",INDEX('Inventory - P08'!$J$16:$J$27,(INT((X37-1)/4)+1)))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19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P08'!$D$16:$D$27,(INT((X38-1)/4)+1)))</f>
        <v/>
      </c>
      <c r="F38" s="19" t="str">
        <f t="array" ref="F38">IF(X38="","",INDEX('Inventory - P08'!$E$16:$E$27,(INT((X38-1)/4)+1)))</f>
        <v/>
      </c>
      <c r="G38" s="19" t="str">
        <f t="array" ref="G38">IF(X38="","",INDEX('Inventory - P08'!$I$16:$I$27,(INT((X38-1)/4)+1)))</f>
        <v/>
      </c>
      <c r="H38" s="19" t="str">
        <f t="array" ref="H38">IF(X38="","",INDEX('Inventory - P08'!$J$16:$J$27,(INT((X38-1)/4)+1)))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19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P08'!$D$16:$D$27,(INT((X39-1)/4)+1)))</f>
        <v/>
      </c>
      <c r="F39" s="19" t="str">
        <f t="array" ref="F39">IF(X39="","",INDEX('Inventory - P08'!$E$16:$E$27,(INT((X39-1)/4)+1)))</f>
        <v/>
      </c>
      <c r="G39" s="19" t="str">
        <f t="array" ref="G39">IF(X39="","",INDEX('Inventory - P08'!$I$16:$I$27,(INT((X39-1)/4)+1)))</f>
        <v/>
      </c>
      <c r="H39" s="19" t="str">
        <f t="array" ref="H39">IF(X39="","",INDEX('Inventory - P08'!$J$16:$J$27,(INT((X39-1)/4)+1)))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19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P08'!$D$16:$D$27,(INT((X40-1)/4)+1)))</f>
        <v/>
      </c>
      <c r="F40" s="19" t="str">
        <f t="array" ref="F40">IF(X40="","",INDEX('Inventory - P08'!$E$16:$E$27,(INT((X40-1)/4)+1)))</f>
        <v/>
      </c>
      <c r="G40" s="19" t="str">
        <f t="array" ref="G40">IF(X40="","",INDEX('Inventory - P08'!$I$16:$I$27,(INT((X40-1)/4)+1)))</f>
        <v/>
      </c>
      <c r="H40" s="19" t="str">
        <f t="array" ref="H40">IF(X40="","",INDEX('Inventory - P08'!$J$16:$J$27,(INT((X40-1)/4)+1)))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19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P08'!$D$16:$D$27,(INT((X41-1)/4)+1)))</f>
        <v/>
      </c>
      <c r="F41" s="19" t="str">
        <f t="array" ref="F41">IF(X41="","",INDEX('Inventory - P08'!$E$16:$E$27,(INT((X41-1)/4)+1)))</f>
        <v/>
      </c>
      <c r="G41" s="19" t="str">
        <f t="array" ref="G41">IF(X41="","",INDEX('Inventory - P08'!$I$16:$I$27,(INT((X41-1)/4)+1)))</f>
        <v/>
      </c>
      <c r="H41" s="19" t="str">
        <f t="array" ref="H41">IF(X41="","",INDEX('Inventory - P08'!$J$16:$J$27,(INT((X41-1)/4)+1)))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19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P08'!$D$16:$D$27,(INT((X42-1)/4)+1)))</f>
        <v/>
      </c>
      <c r="F42" s="19" t="str">
        <f t="array" ref="F42">IF(X42="","",INDEX('Inventory - P08'!$E$16:$E$27,(INT((X42-1)/4)+1)))</f>
        <v/>
      </c>
      <c r="G42" s="19" t="str">
        <f t="array" ref="G42">IF(X42="","",INDEX('Inventory - P08'!$I$16:$I$27,(INT((X42-1)/4)+1)))</f>
        <v/>
      </c>
      <c r="H42" s="19" t="str">
        <f t="array" ref="H42">IF(X42="","",INDEX('Inventory - P08'!$J$16:$J$27,(INT((X42-1)/4)+1)))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19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P08'!$D$16:$D$27,(INT((X43-1)/4)+1)))</f>
        <v/>
      </c>
      <c r="F43" s="19" t="str">
        <f t="array" ref="F43">IF(X43="","",INDEX('Inventory - P08'!$E$16:$E$27,(INT((X43-1)/4)+1)))</f>
        <v/>
      </c>
      <c r="G43" s="19" t="str">
        <f t="array" ref="G43">IF(X43="","",INDEX('Inventory - P08'!$I$16:$I$27,(INT((X43-1)/4)+1)))</f>
        <v/>
      </c>
      <c r="H43" s="19" t="str">
        <f t="array" ref="H43">IF(X43="","",INDEX('Inventory - P08'!$J$16:$J$27,(INT((X43-1)/4)+1)))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19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P08'!$D$16:$D$27,(INT((X44-1)/4)+1)))</f>
        <v/>
      </c>
      <c r="F44" s="19" t="str">
        <f t="array" ref="F44">IF(X44="","",INDEX('Inventory - P08'!$E$16:$E$27,(INT((X44-1)/4)+1)))</f>
        <v/>
      </c>
      <c r="G44" s="19" t="str">
        <f t="array" ref="G44">IF(X44="","",INDEX('Inventory - P08'!$I$16:$I$27,(INT((X44-1)/4)+1)))</f>
        <v/>
      </c>
      <c r="H44" s="19" t="str">
        <f t="array" ref="H44">IF(X44="","",INDEX('Inventory - P08'!$J$16:$J$27,(INT((X44-1)/4)+1)))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19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P08'!$D$16:$D$27,(INT((X45-1)/4)+1)))</f>
        <v/>
      </c>
      <c r="F45" s="19" t="str">
        <f t="array" ref="F45">IF(X45="","",INDEX('Inventory - P08'!$E$16:$E$27,(INT((X45-1)/4)+1)))</f>
        <v/>
      </c>
      <c r="G45" s="19" t="str">
        <f t="array" ref="G45">IF(X45="","",INDEX('Inventory - P08'!$I$16:$I$27,(INT((X45-1)/4)+1)))</f>
        <v/>
      </c>
      <c r="H45" s="19" t="str">
        <f t="array" ref="H45">IF(X45="","",INDEX('Inventory - P08'!$J$16:$J$27,(INT((X45-1)/4)+1)))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19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P08'!$D$16:$D$27,(INT((X46-1)/4)+1)))</f>
        <v/>
      </c>
      <c r="F46" s="19" t="str">
        <f t="array" ref="F46">IF(X46="","",INDEX('Inventory - P08'!$E$16:$E$27,(INT((X46-1)/4)+1)))</f>
        <v/>
      </c>
      <c r="G46" s="19" t="str">
        <f t="array" ref="G46">IF(X46="","",INDEX('Inventory - P08'!$I$16:$I$27,(INT((X46-1)/4)+1)))</f>
        <v/>
      </c>
      <c r="H46" s="19" t="str">
        <f t="array" ref="H46">IF(X46="","",INDEX('Inventory - P08'!$J$16:$J$27,(INT((X46-1)/4)+1)))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19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P08'!$D$16:$D$27,(INT((X47-1)/4)+1)))</f>
        <v/>
      </c>
      <c r="F47" s="19" t="str">
        <f t="array" ref="F47">IF(X47="","",INDEX('Inventory - P08'!$E$16:$E$27,(INT((X47-1)/4)+1)))</f>
        <v/>
      </c>
      <c r="G47" s="19" t="str">
        <f t="array" ref="G47">IF(X47="","",INDEX('Inventory - P08'!$I$16:$I$27,(INT((X47-1)/4)+1)))</f>
        <v/>
      </c>
      <c r="H47" s="19" t="str">
        <f t="array" ref="H47">IF(X47="","",INDEX('Inventory - P08'!$J$16:$J$27,(INT((X47-1)/4)+1)))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19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P08'!$D$16:$D$27,(INT((X48-1)/4)+1)))</f>
        <v/>
      </c>
      <c r="F48" s="19" t="str">
        <f t="array" ref="F48">IF(X48="","",INDEX('Inventory - P08'!$E$16:$E$27,(INT((X48-1)/4)+1)))</f>
        <v/>
      </c>
      <c r="G48" s="19" t="str">
        <f t="array" ref="G48">IF(X48="","",INDEX('Inventory - P08'!$I$16:$I$27,(INT((X48-1)/4)+1)))</f>
        <v/>
      </c>
      <c r="H48" s="19" t="str">
        <f t="array" ref="H48">IF(X48="","",INDEX('Inventory - P08'!$J$16:$J$27,(INT((X48-1)/4)+1)))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19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P08'!$D$16:$D$27,(INT((X50-1)/4)+1)))</f>
        <v/>
      </c>
      <c r="F50" s="19" t="str">
        <f t="array" ref="F50">IF(X50="","",INDEX('Inventory - P08'!$E$16:$E$27,(INT((X50-1)/4)+1)))</f>
        <v/>
      </c>
      <c r="G50" s="19" t="str">
        <f t="array" ref="G50">IF(X50="","",INDEX('Inventory - P08'!$I$16:$I$27,(INT((X50-1)/4)+1)))</f>
        <v/>
      </c>
      <c r="H50" s="19" t="str">
        <f t="array" ref="H50">IF(X50="","",INDEX('Inventory - P08'!$J$16:$J$27,(INT((X50-1)/4)+1)))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19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P08'!$D$16:$D$27,(INT((X51-1)/4)+1)))</f>
        <v/>
      </c>
      <c r="F51" s="19" t="str">
        <f t="array" ref="F51">IF(X51="","",INDEX('Inventory - P08'!$E$16:$E$27,(INT((X51-1)/4)+1)))</f>
        <v/>
      </c>
      <c r="G51" s="19" t="str">
        <f t="array" ref="G51">IF(X51="","",INDEX('Inventory - P08'!$I$16:$I$27,(INT((X51-1)/4)+1)))</f>
        <v/>
      </c>
      <c r="H51" s="19" t="str">
        <f t="array" ref="H51">IF(X51="","",INDEX('Inventory - P08'!$J$16:$J$27,(INT((X51-1)/4)+1)))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19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P08'!$D$16:$D$27,(INT((X52-1)/4)+1)))</f>
        <v/>
      </c>
      <c r="F52" s="19" t="str">
        <f t="array" ref="F52">IF(X52="","",INDEX('Inventory - P08'!$E$16:$E$27,(INT((X52-1)/4)+1)))</f>
        <v/>
      </c>
      <c r="G52" s="19" t="str">
        <f t="array" ref="G52">IF(X52="","",INDEX('Inventory - P08'!$I$16:$I$27,(INT((X52-1)/4)+1)))</f>
        <v/>
      </c>
      <c r="H52" s="19" t="str">
        <f t="array" ref="H52">IF(X52="","",INDEX('Inventory - P08'!$J$16:$J$27,(INT((X52-1)/4)+1)))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19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P08'!$D$16:$D$27,(INT((X53-1)/4)+1)))</f>
        <v/>
      </c>
      <c r="F53" s="19" t="str">
        <f t="array" ref="F53">IF(X53="","",INDEX('Inventory - P08'!$E$16:$E$27,(INT((X53-1)/4)+1)))</f>
        <v/>
      </c>
      <c r="G53" s="19" t="str">
        <f t="array" ref="G53">IF(X53="","",INDEX('Inventory - P08'!$I$16:$I$27,(INT((X53-1)/4)+1)))</f>
        <v/>
      </c>
      <c r="H53" s="19" t="str">
        <f t="array" ref="H53">IF(X53="","",INDEX('Inventory - P08'!$J$16:$J$27,(INT((X53-1)/4)+1)))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19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P08'!$D$16:$D$27,(INT((X54-1)/4)+1)))</f>
        <v/>
      </c>
      <c r="F54" s="19" t="str">
        <f t="array" ref="F54">IF(X54="","",INDEX('Inventory - P08'!$E$16:$E$27,(INT((X54-1)/4)+1)))</f>
        <v/>
      </c>
      <c r="G54" s="19" t="str">
        <f t="array" ref="G54">IF(X54="","",INDEX('Inventory - P08'!$I$16:$I$27,(INT((X54-1)/4)+1)))</f>
        <v/>
      </c>
      <c r="H54" s="19" t="str">
        <f t="array" ref="H54">IF(X54="","",INDEX('Inventory - P08'!$J$16:$J$27,(INT((X54-1)/4)+1)))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19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P08'!$D$16:$D$27,(INT((X55-1)/4)+1)))</f>
        <v/>
      </c>
      <c r="F55" s="19" t="str">
        <f t="array" ref="F55">IF(X55="","",INDEX('Inventory - P08'!$E$16:$E$27,(INT((X55-1)/4)+1)))</f>
        <v/>
      </c>
      <c r="G55" s="19" t="str">
        <f t="array" ref="G55">IF(X55="","",INDEX('Inventory - P08'!$I$16:$I$27,(INT((X55-1)/4)+1)))</f>
        <v/>
      </c>
      <c r="H55" s="19" t="str">
        <f t="array" ref="H55">IF(X55="","",INDEX('Inventory - P08'!$J$16:$J$27,(INT((X55-1)/4)+1)))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19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P08'!$D$16:$D$27,(INT((X56-1)/4)+1)))</f>
        <v/>
      </c>
      <c r="F56" s="19" t="str">
        <f t="array" ref="F56">IF(X56="","",INDEX('Inventory - P08'!$E$16:$E$27,(INT((X56-1)/4)+1)))</f>
        <v/>
      </c>
      <c r="G56" s="19" t="str">
        <f t="array" ref="G56">IF(X56="","",INDEX('Inventory - P08'!$I$16:$I$27,(INT((X56-1)/4)+1)))</f>
        <v/>
      </c>
      <c r="H56" s="19" t="str">
        <f t="array" ref="H56">IF(X56="","",INDEX('Inventory - P08'!$J$16:$J$27,(INT((X56-1)/4)+1)))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19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P08'!$D$16:$D$27,(INT((X57-1)/4)+1)))</f>
        <v/>
      </c>
      <c r="F57" s="19" t="str">
        <f t="array" ref="F57">IF(X57="","",INDEX('Inventory - P08'!$E$16:$E$27,(INT((X57-1)/4)+1)))</f>
        <v/>
      </c>
      <c r="G57" s="19" t="str">
        <f t="array" ref="G57">IF(X57="","",INDEX('Inventory - P08'!$I$16:$I$27,(INT((X57-1)/4)+1)))</f>
        <v/>
      </c>
      <c r="H57" s="19" t="str">
        <f t="array" ref="H57">IF(X57="","",INDEX('Inventory - P08'!$J$16:$J$27,(INT((X57-1)/4)+1)))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19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P08'!$D$16:$D$27,(INT((X58-1)/4)+1)))</f>
        <v/>
      </c>
      <c r="F58" s="19" t="str">
        <f t="array" ref="F58">IF(X58="","",INDEX('Inventory - P08'!$E$16:$E$27,(INT((X58-1)/4)+1)))</f>
        <v/>
      </c>
      <c r="G58" s="19" t="str">
        <f t="array" ref="G58">IF(X58="","",INDEX('Inventory - P08'!$I$16:$I$27,(INT((X58-1)/4)+1)))</f>
        <v/>
      </c>
      <c r="H58" s="19" t="str">
        <f t="array" ref="H58">IF(X58="","",INDEX('Inventory - P08'!$J$16:$J$27,(INT((X58-1)/4)+1)))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19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P08'!$D$16:$D$27,(INT((X59-1)/4)+1)))</f>
        <v/>
      </c>
      <c r="F59" s="19" t="str">
        <f t="array" ref="F59">IF(X59="","",INDEX('Inventory - P08'!$E$16:$E$27,(INT((X59-1)/4)+1)))</f>
        <v/>
      </c>
      <c r="G59" s="19" t="str">
        <f t="array" ref="G59">IF(X59="","",INDEX('Inventory - P08'!$I$16:$I$27,(INT((X59-1)/4)+1)))</f>
        <v/>
      </c>
      <c r="H59" s="19" t="str">
        <f t="array" ref="H59">IF(X59="","",INDEX('Inventory - P08'!$J$16:$J$27,(INT((X59-1)/4)+1)))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19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P08'!$D$16:$D$27,(INT((X60-1)/4)+1)))</f>
        <v/>
      </c>
      <c r="F60" s="19" t="str">
        <f t="array" ref="F60">IF(X60="","",INDEX('Inventory - P08'!$E$16:$E$27,(INT((X60-1)/4)+1)))</f>
        <v/>
      </c>
      <c r="G60" s="19" t="str">
        <f t="array" ref="G60">IF(X60="","",INDEX('Inventory - P08'!$I$16:$I$27,(INT((X60-1)/4)+1)))</f>
        <v/>
      </c>
      <c r="H60" s="19" t="str">
        <f t="array" ref="H60">IF(X60="","",INDEX('Inventory - P08'!$J$16:$J$27,(INT((X60-1)/4)+1)))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19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P08'!$D$16:$D$27,(INT((X61-1)/4)+1)))</f>
        <v/>
      </c>
      <c r="F61" s="19" t="str">
        <f t="array" ref="F61">IF(X61="","",INDEX('Inventory - P08'!$E$16:$E$27,(INT((X61-1)/4)+1)))</f>
        <v/>
      </c>
      <c r="G61" s="19" t="str">
        <f t="array" ref="G61">IF(X61="","",INDEX('Inventory - P08'!$I$16:$I$27,(INT((X61-1)/4)+1)))</f>
        <v/>
      </c>
      <c r="H61" s="19" t="str">
        <f t="array" ref="H61">IF(X61="","",INDEX('Inventory - P08'!$J$16:$J$27,(INT((X61-1)/4)+1)))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P08'!E16&lt;1,'Inventory - P08'!F16="",'Inventory - P08'!G16=""),9,MOD('Inventory - P08'!F16+0*'Inventory - P08'!G16/24,1))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P08'!E16&lt;2,'Inventory - P08'!F16="",'Inventory - P08'!G16=""),9,MOD('Inventory - P08'!F16+1*'Inventory - P08'!G16/24,1))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P08'!E16&lt;3,'Inventory - P08'!F16="",'Inventory - P08'!G16=""),9,MOD('Inventory - P08'!F16+2*'Inventory - P08'!G16/24,1))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P08'!E16&lt;4,'Inventory - P08'!F16="",'Inventory - P08'!G16=""),9,MOD('Inventory - P08'!F16+3*'Inventory - P08'!G16/24,1))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P08'!E17&lt;1,'Inventory - P08'!F17="",'Inventory - P08'!G17=""),9,MOD('Inventory - P08'!F17+0*'Inventory - P08'!G17/24,1))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P08'!E17&lt;2,'Inventory - P08'!F17="",'Inventory - P08'!G17=""),9,MOD('Inventory - P08'!F17+1*'Inventory - P08'!G17/24,1))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P08'!E17&lt;3,'Inventory - P08'!F17="",'Inventory - P08'!G17=""),9,MOD('Inventory - P08'!F17+2*'Inventory - P08'!G17/24,1))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P08'!E17&lt;4,'Inventory - P08'!F17="",'Inventory - P08'!G17=""),9,MOD('Inventory - P08'!F17+3*'Inventory - P08'!G17/24,1))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P08'!E18&lt;1,'Inventory - P08'!F18="",'Inventory - P08'!G18=""),9,MOD('Inventory - P08'!F18+0*'Inventory - P08'!G18/24,1))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P08'!E18&lt;2,'Inventory - P08'!F18="",'Inventory - P08'!G18=""),9,MOD('Inventory - P08'!F18+1*'Inventory - P08'!G18/24,1))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P08'!E18&lt;3,'Inventory - P08'!F18="",'Inventory - P08'!G18=""),9,MOD('Inventory - P08'!F18+2*'Inventory - P08'!G18/24,1))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P08'!E18&lt;4,'Inventory - P08'!F18="",'Inventory - P08'!G18=""),9,MOD('Inventory - P08'!F18+3*'Inventory - P08'!G18/24,1))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P08'!E19&lt;1,'Inventory - P08'!F19="",'Inventory - P08'!G19=""),9,MOD('Inventory - P08'!F19+0*'Inventory - P08'!G19/24,1))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P08'!E19&lt;2,'Inventory - P08'!F19="",'Inventory - P08'!G19=""),9,MOD('Inventory - P08'!F19+1*'Inventory - P08'!G19/24,1))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P08'!E19&lt;3,'Inventory - P08'!F19="",'Inventory - P08'!G19=""),9,MOD('Inventory - P08'!F19+2*'Inventory - P08'!G19/24,1))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P08'!E19&lt;4,'Inventory - P08'!F19="",'Inventory - P08'!G19=""),9,MOD('Inventory - P08'!F19+3*'Inventory - P08'!G19/24,1))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P08'!E20&lt;1,'Inventory - P08'!F20="",'Inventory - P08'!G20=""),9,MOD('Inventory - P08'!F20+0*'Inventory - P08'!G20/24,1))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P08'!E20&lt;2,'Inventory - P08'!F20="",'Inventory - P08'!G20=""),9,MOD('Inventory - P08'!F20+1*'Inventory - P08'!G20/24,1))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P08'!E20&lt;3,'Inventory - P08'!F20="",'Inventory - P08'!G20=""),9,MOD('Inventory - P08'!F20+2*'Inventory - P08'!G20/24,1))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P08'!E20&lt;4,'Inventory - P08'!F20="",'Inventory - P08'!G20=""),9,MOD('Inventory - P08'!F20+3*'Inventory - P08'!G20/24,1))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P08'!E21&lt;1,'Inventory - P08'!F21="",'Inventory - P08'!G21=""),9,MOD('Inventory - P08'!F21+0*'Inventory - P08'!G21/24,1))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P08'!E21&lt;2,'Inventory - P08'!F21="",'Inventory - P08'!G21=""),9,MOD('Inventory - P08'!F21+1*'Inventory - P08'!G21/24,1))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P08'!E21&lt;3,'Inventory - P08'!F21="",'Inventory - P08'!G21=""),9,MOD('Inventory - P08'!F21+2*'Inventory - P08'!G21/24,1))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P08'!E21&lt;4,'Inventory - P08'!F21="",'Inventory - P08'!G21=""),9,MOD('Inventory - P08'!F21+3*'Inventory - P08'!G21/24,1))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P08'!E22&lt;1,'Inventory - P08'!F22="",'Inventory - P08'!G22=""),9,MOD('Inventory - P08'!F22+0*'Inventory - P08'!G22/24,1))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P08'!E22&lt;2,'Inventory - P08'!F22="",'Inventory - P08'!G22=""),9,MOD('Inventory - P08'!F22+1*'Inventory - P08'!G22/24,1))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P08'!E22&lt;3,'Inventory - P08'!F22="",'Inventory - P08'!G22=""),9,MOD('Inventory - P08'!F22+2*'Inventory - P08'!G22/24,1))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P08'!E22&lt;4,'Inventory - P08'!F22="",'Inventory - P08'!G22=""),9,MOD('Inventory - P08'!F22+3*'Inventory - P08'!G22/24,1))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P08'!E23&lt;1,'Inventory - P08'!F23="",'Inventory - P08'!G23=""),9,MOD('Inventory - P08'!F23+0*'Inventory - P08'!G23/24,1))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P08'!E23&lt;2,'Inventory - P08'!F23="",'Inventory - P08'!G23=""),9,MOD('Inventory - P08'!F23+1*'Inventory - P08'!G23/24,1))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P08'!E23&lt;3,'Inventory - P08'!F23="",'Inventory - P08'!G23=""),9,MOD('Inventory - P08'!F23+2*'Inventory - P08'!G23/24,1))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P08'!E23&lt;4,'Inventory - P08'!F23="",'Inventory - P08'!G23=""),9,MOD('Inventory - P08'!F23+3*'Inventory - P08'!G23/24,1))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P08'!E24&lt;1,'Inventory - P08'!F24="",'Inventory - P08'!G24=""),9,MOD('Inventory - P08'!F24+0*'Inventory - P08'!G24/24,1))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P08'!E24&lt;2,'Inventory - P08'!F24="",'Inventory - P08'!G24=""),9,MOD('Inventory - P08'!F24+1*'Inventory - P08'!G24/24,1))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P08'!E24&lt;3,'Inventory - P08'!F24="",'Inventory - P08'!G24=""),9,MOD('Inventory - P08'!F24+2*'Inventory - P08'!G24/24,1))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P08'!E24&lt;4,'Inventory - P08'!F24="",'Inventory - P08'!G24=""),9,MOD('Inventory - P08'!F24+3*'Inventory - P08'!G24/24,1))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P08'!E25&lt;1,'Inventory - P08'!F25="",'Inventory - P08'!G25=""),9,MOD('Inventory - P08'!F25+0*'Inventory - P08'!G25/24,1))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P08'!E25&lt;2,'Inventory - P08'!F25="",'Inventory - P08'!G25=""),9,MOD('Inventory - P08'!F25+1*'Inventory - P08'!G25/24,1))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P08'!E25&lt;3,'Inventory - P08'!F25="",'Inventory - P08'!G25=""),9,MOD('Inventory - P08'!F25+2*'Inventory - P08'!G25/24,1))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P08'!E25&lt;4,'Inventory - P08'!F25="",'Inventory - P08'!G25=""),9,MOD('Inventory - P08'!F25+3*'Inventory - P08'!G25/24,1))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P08'!E26&lt;1,'Inventory - P08'!F26="",'Inventory - P08'!G26=""),9,MOD('Inventory - P08'!F26+0*'Inventory - P08'!G26/24,1))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P08'!E26&lt;2,'Inventory - P08'!F26="",'Inventory - P08'!G26=""),9,MOD('Inventory - P08'!F26+1*'Inventory - P08'!G26/24,1))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P08'!E26&lt;3,'Inventory - P08'!F26="",'Inventory - P08'!G26=""),9,MOD('Inventory - P08'!F26+2*'Inventory - P08'!G26/24,1))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P08'!E26&lt;4,'Inventory - P08'!F26="",'Inventory - P08'!G26=""),9,MOD('Inventory - P08'!F26+3*'Inventory - P08'!G26/24,1))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P08'!E27&lt;1,'Inventory - P08'!F27="",'Inventory - P08'!G27=""),9,MOD('Inventory - P08'!F27+0*'Inventory - P08'!G27/24,1))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P08'!E27&lt;2,'Inventory - P08'!F27="",'Inventory - P08'!G27=""),9,MOD('Inventory - P08'!F27+1*'Inventory - P08'!G27/24,1))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P08'!E27&lt;3,'Inventory - P08'!F27="",'Inventory - P08'!G27=""),9,MOD('Inventory - P08'!F27+2*'Inventory - P08'!G27/24,1))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P08'!E27&lt;4,'Inventory - P08'!F27="",'Inventory - P08'!G27=""),9,MOD('Inventory - P08'!F27+3*'Inventory - P08'!G27/24,1))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Tracker'!S13="","","INV-"&amp;SUBSTITUTE('Client Needs Tracker'!S13," ",""))</f>
        <v>INV-F-1A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Tracker'!B13="","(Add client on Client Needs Tracker, row 13)",'Client Needs Tracker'!B13)</f>
        <v>Brenda Homes</v>
      </c>
      <c r="B6" s="104"/>
      <c r="C6" s="104"/>
      <c r="D6" s="104"/>
      <c r="E6" s="104"/>
      <c r="F6" s="105">
        <f>'Client Needs Tracker'!A13</f>
        <v>102558</v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>
        <f>IF('Client Needs Tracker'!C13="","",'Client Needs Tracker'!C13)</f>
        <v>46223</v>
      </c>
      <c r="B8" s="104"/>
      <c r="C8" s="104"/>
      <c r="D8" s="104"/>
      <c r="E8" s="104"/>
      <c r="F8" s="108" t="str">
        <f>'Client Needs Tracker'!E13</f>
        <v>LOC3</v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Tracker'!F13="","",'Client Needs Tracker'!F13)</f>
        <v>TBD</v>
      </c>
      <c r="B10" s="104"/>
      <c r="C10" s="104"/>
      <c r="D10" s="104"/>
      <c r="E10" s="104"/>
      <c r="F10" s="110" t="str">
        <f>IF('Client Status Board'!G13="","",'Client Status Board'!G13)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Board'!L13="","",'Client Status Board'!L13)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12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35"/>
      <c r="C16" s="29"/>
      <c r="D16" s="29"/>
      <c r="E16" s="29"/>
      <c r="F16" s="118"/>
      <c r="G16" s="2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29"/>
      <c r="J16" s="29"/>
      <c r="K16" s="29"/>
      <c r="L16" s="12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howErrorMessage="1" sqref="C16">
      <formula1>"150,300,450,600"</formula1>
    </dataValidation>
    <dataValidation type="list" allowBlank="1" sqref="C17:C27">
      <formula1>INDIRECT("MG_"&amp;SUBSTITUTE(SUBSTITUTE(SUBSTITUTE(SUBSTITUTE(LEFT($B17,IFERROR(FIND(" (",$B17)-1,LEN($B17))),"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ht="15.0" customHeight="1">
      <c r="A3" s="130" t="str">
        <f>IF('Inventory - P09'!A6="","(Enter name in Inventory - P09)",'Inventory - P09'!A6)</f>
        <v>Brenda Homes</v>
      </c>
      <c r="B3" s="131"/>
      <c r="C3" s="131"/>
      <c r="D3" s="131"/>
      <c r="E3" s="131"/>
      <c r="F3" s="132" t="str">
        <f>IF('Inventory - P09'!F6="","(Enter ID in Inventory - P09)","Member ID: "&amp;'Inventory - P09'!F6)</f>
        <v>Member ID: 102558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Tracker'!S13="","","INV-"&amp;SUBSTITUTE('Client Needs Tracker'!S13," ",""))</f>
        <v>INV-F-1A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P09'!F8="","-",'Inventory - P09'!F8)</f>
        <v>LOC: LOC3</v>
      </c>
      <c r="C5" s="3"/>
      <c r="D5" s="134" t="str">
        <f>"Case Manager: "&amp;IF('Inventory - P09'!A10="","-",'Inventory - P09'!A10)</f>
        <v>Case Manager: TBD</v>
      </c>
      <c r="F5" s="3"/>
      <c r="G5" s="134" t="str">
        <f>"Doctor: "&amp;IF('Inventory - P09'!F10="","-",'Inventory - P09'!F10)</f>
        <v>Doctor: -</v>
      </c>
      <c r="I5" s="3"/>
      <c r="J5" s="134" t="str">
        <f>"Pharmacy: "&amp;IF('Inventory - P09'!A12="","-",'Inventory - P09'!A12)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P09'!A14="","",'Inventory - P09'!A14)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P09'!A14="","",'Inventory - P09'!A14+0)</f>
        <v/>
      </c>
      <c r="J8" s="139"/>
      <c r="K8" s="138" t="str">
        <f>IF('Inventory - P09'!A14="","",'Inventory - P09'!A14+1)</f>
        <v/>
      </c>
      <c r="L8" s="139"/>
      <c r="M8" s="138" t="str">
        <f>IF('Inventory - P09'!A14="","",'Inventory - P09'!A14+2)</f>
        <v/>
      </c>
      <c r="N8" s="139"/>
      <c r="O8" s="138" t="str">
        <f>IF('Inventory - P09'!A14="","",'Inventory - P09'!A14+3)</f>
        <v/>
      </c>
      <c r="P8" s="139"/>
      <c r="Q8" s="138" t="str">
        <f>IF('Inventory - P09'!A14="","",'Inventory - P09'!A14+4)</f>
        <v/>
      </c>
      <c r="R8" s="139"/>
      <c r="S8" s="138" t="str">
        <f>IF('Inventory - P09'!A14="","",'Inventory - P09'!A14+5)</f>
        <v/>
      </c>
      <c r="T8" s="139"/>
      <c r="U8" s="138" t="str">
        <f>IF('Inventory - P09'!A14="","",'Inventory - P09'!A14+6)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19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P09'!$D$16:$D$27,(INT((X11-1)/4)+1)))</f>
        <v/>
      </c>
      <c r="F11" s="19" t="str">
        <f t="array" ref="F11">IF(X11="","",INDEX('Inventory - P09'!$E$16:$E$27,(INT((X11-1)/4)+1)))</f>
        <v/>
      </c>
      <c r="G11" s="19" t="str">
        <f t="array" ref="G11">IF(X11="","",INDEX('Inventory - P09'!$I$16:$I$27,(INT((X11-1)/4)+1)))</f>
        <v/>
      </c>
      <c r="H11" s="19" t="str">
        <f t="array" ref="H11">IF(X11="","",INDEX('Inventory - P09'!$J$16:$J$27,(INT((X11-1)/4)+1)))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19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P09'!$D$16:$D$27,(INT((X12-1)/4)+1)))</f>
        <v/>
      </c>
      <c r="F12" s="19" t="str">
        <f t="array" ref="F12">IF(X12="","",INDEX('Inventory - P09'!$E$16:$E$27,(INT((X12-1)/4)+1)))</f>
        <v/>
      </c>
      <c r="G12" s="19" t="str">
        <f t="array" ref="G12">IF(X12="","",INDEX('Inventory - P09'!$I$16:$I$27,(INT((X12-1)/4)+1)))</f>
        <v/>
      </c>
      <c r="H12" s="19" t="str">
        <f t="array" ref="H12">IF(X12="","",INDEX('Inventory - P09'!$J$16:$J$27,(INT((X12-1)/4)+1)))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19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P09'!$D$16:$D$27,(INT((X13-1)/4)+1)))</f>
        <v/>
      </c>
      <c r="F13" s="19" t="str">
        <f t="array" ref="F13">IF(X13="","",INDEX('Inventory - P09'!$E$16:$E$27,(INT((X13-1)/4)+1)))</f>
        <v/>
      </c>
      <c r="G13" s="19" t="str">
        <f t="array" ref="G13">IF(X13="","",INDEX('Inventory - P09'!$I$16:$I$27,(INT((X13-1)/4)+1)))</f>
        <v/>
      </c>
      <c r="H13" s="19" t="str">
        <f t="array" ref="H13">IF(X13="","",INDEX('Inventory - P09'!$J$16:$J$27,(INT((X13-1)/4)+1)))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19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P09'!$D$16:$D$27,(INT((X14-1)/4)+1)))</f>
        <v/>
      </c>
      <c r="F14" s="19" t="str">
        <f t="array" ref="F14">IF(X14="","",INDEX('Inventory - P09'!$E$16:$E$27,(INT((X14-1)/4)+1)))</f>
        <v/>
      </c>
      <c r="G14" s="19" t="str">
        <f t="array" ref="G14">IF(X14="","",INDEX('Inventory - P09'!$I$16:$I$27,(INT((X14-1)/4)+1)))</f>
        <v/>
      </c>
      <c r="H14" s="19" t="str">
        <f t="array" ref="H14">IF(X14="","",INDEX('Inventory - P09'!$J$16:$J$27,(INT((X14-1)/4)+1)))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19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P09'!$D$16:$D$27,(INT((X15-1)/4)+1)))</f>
        <v/>
      </c>
      <c r="F15" s="19" t="str">
        <f t="array" ref="F15">IF(X15="","",INDEX('Inventory - P09'!$E$16:$E$27,(INT((X15-1)/4)+1)))</f>
        <v/>
      </c>
      <c r="G15" s="19" t="str">
        <f t="array" ref="G15">IF(X15="","",INDEX('Inventory - P09'!$I$16:$I$27,(INT((X15-1)/4)+1)))</f>
        <v/>
      </c>
      <c r="H15" s="19" t="str">
        <f t="array" ref="H15">IF(X15="","",INDEX('Inventory - P09'!$J$16:$J$27,(INT((X15-1)/4)+1)))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19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P09'!$D$16:$D$27,(INT((X16-1)/4)+1)))</f>
        <v/>
      </c>
      <c r="F16" s="19" t="str">
        <f t="array" ref="F16">IF(X16="","",INDEX('Inventory - P09'!$E$16:$E$27,(INT((X16-1)/4)+1)))</f>
        <v/>
      </c>
      <c r="G16" s="19" t="str">
        <f t="array" ref="G16">IF(X16="","",INDEX('Inventory - P09'!$I$16:$I$27,(INT((X16-1)/4)+1)))</f>
        <v/>
      </c>
      <c r="H16" s="19" t="str">
        <f t="array" ref="H16">IF(X16="","",INDEX('Inventory - P09'!$J$16:$J$27,(INT((X16-1)/4)+1)))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19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P09'!$D$16:$D$27,(INT((X17-1)/4)+1)))</f>
        <v/>
      </c>
      <c r="F17" s="19" t="str">
        <f t="array" ref="F17">IF(X17="","",INDEX('Inventory - P09'!$E$16:$E$27,(INT((X17-1)/4)+1)))</f>
        <v/>
      </c>
      <c r="G17" s="19" t="str">
        <f t="array" ref="G17">IF(X17="","",INDEX('Inventory - P09'!$I$16:$I$27,(INT((X17-1)/4)+1)))</f>
        <v/>
      </c>
      <c r="H17" s="19" t="str">
        <f t="array" ref="H17">IF(X17="","",INDEX('Inventory - P09'!$J$16:$J$27,(INT((X17-1)/4)+1)))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19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P09'!$D$16:$D$27,(INT((X18-1)/4)+1)))</f>
        <v/>
      </c>
      <c r="F18" s="19" t="str">
        <f t="array" ref="F18">IF(X18="","",INDEX('Inventory - P09'!$E$16:$E$27,(INT((X18-1)/4)+1)))</f>
        <v/>
      </c>
      <c r="G18" s="19" t="str">
        <f t="array" ref="G18">IF(X18="","",INDEX('Inventory - P09'!$I$16:$I$27,(INT((X18-1)/4)+1)))</f>
        <v/>
      </c>
      <c r="H18" s="19" t="str">
        <f t="array" ref="H18">IF(X18="","",INDEX('Inventory - P09'!$J$16:$J$27,(INT((X18-1)/4)+1)))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19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P09'!$D$16:$D$27,(INT((X19-1)/4)+1)))</f>
        <v/>
      </c>
      <c r="F19" s="19" t="str">
        <f t="array" ref="F19">IF(X19="","",INDEX('Inventory - P09'!$E$16:$E$27,(INT((X19-1)/4)+1)))</f>
        <v/>
      </c>
      <c r="G19" s="19" t="str">
        <f t="array" ref="G19">IF(X19="","",INDEX('Inventory - P09'!$I$16:$I$27,(INT((X19-1)/4)+1)))</f>
        <v/>
      </c>
      <c r="H19" s="19" t="str">
        <f t="array" ref="H19">IF(X19="","",INDEX('Inventory - P09'!$J$16:$J$27,(INT((X19-1)/4)+1)))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19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P09'!$D$16:$D$27,(INT((X20-1)/4)+1)))</f>
        <v/>
      </c>
      <c r="F20" s="19" t="str">
        <f t="array" ref="F20">IF(X20="","",INDEX('Inventory - P09'!$E$16:$E$27,(INT((X20-1)/4)+1)))</f>
        <v/>
      </c>
      <c r="G20" s="19" t="str">
        <f t="array" ref="G20">IF(X20="","",INDEX('Inventory - P09'!$I$16:$I$27,(INT((X20-1)/4)+1)))</f>
        <v/>
      </c>
      <c r="H20" s="19" t="str">
        <f t="array" ref="H20">IF(X20="","",INDEX('Inventory - P09'!$J$16:$J$27,(INT((X20-1)/4)+1)))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19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P09'!$D$16:$D$27,(INT((X21-1)/4)+1)))</f>
        <v/>
      </c>
      <c r="F21" s="19" t="str">
        <f t="array" ref="F21">IF(X21="","",INDEX('Inventory - P09'!$E$16:$E$27,(INT((X21-1)/4)+1)))</f>
        <v/>
      </c>
      <c r="G21" s="19" t="str">
        <f t="array" ref="G21">IF(X21="","",INDEX('Inventory - P09'!$I$16:$I$27,(INT((X21-1)/4)+1)))</f>
        <v/>
      </c>
      <c r="H21" s="19" t="str">
        <f t="array" ref="H21">IF(X21="","",INDEX('Inventory - P09'!$J$16:$J$27,(INT((X21-1)/4)+1)))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19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P09'!$D$16:$D$27,(INT((X22-1)/4)+1)))</f>
        <v/>
      </c>
      <c r="F22" s="19" t="str">
        <f t="array" ref="F22">IF(X22="","",INDEX('Inventory - P09'!$E$16:$E$27,(INT((X22-1)/4)+1)))</f>
        <v/>
      </c>
      <c r="G22" s="19" t="str">
        <f t="array" ref="G22">IF(X22="","",INDEX('Inventory - P09'!$I$16:$I$27,(INT((X22-1)/4)+1)))</f>
        <v/>
      </c>
      <c r="H22" s="19" t="str">
        <f t="array" ref="H22">IF(X22="","",INDEX('Inventory - P09'!$J$16:$J$27,(INT((X22-1)/4)+1)))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19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P09'!$D$16:$D$27,(INT((X24-1)/4)+1)))</f>
        <v/>
      </c>
      <c r="F24" s="19" t="str">
        <f t="array" ref="F24">IF(X24="","",INDEX('Inventory - P09'!$E$16:$E$27,(INT((X24-1)/4)+1)))</f>
        <v/>
      </c>
      <c r="G24" s="19" t="str">
        <f t="array" ref="G24">IF(X24="","",INDEX('Inventory - P09'!$I$16:$I$27,(INT((X24-1)/4)+1)))</f>
        <v/>
      </c>
      <c r="H24" s="19" t="str">
        <f t="array" ref="H24">IF(X24="","",INDEX('Inventory - P09'!$J$16:$J$27,(INT((X24-1)/4)+1)))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19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P09'!$D$16:$D$27,(INT((X25-1)/4)+1)))</f>
        <v/>
      </c>
      <c r="F25" s="19" t="str">
        <f t="array" ref="F25">IF(X25="","",INDEX('Inventory - P09'!$E$16:$E$27,(INT((X25-1)/4)+1)))</f>
        <v/>
      </c>
      <c r="G25" s="19" t="str">
        <f t="array" ref="G25">IF(X25="","",INDEX('Inventory - P09'!$I$16:$I$27,(INT((X25-1)/4)+1)))</f>
        <v/>
      </c>
      <c r="H25" s="19" t="str">
        <f t="array" ref="H25">IF(X25="","",INDEX('Inventory - P09'!$J$16:$J$27,(INT((X25-1)/4)+1)))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19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P09'!$D$16:$D$27,(INT((X26-1)/4)+1)))</f>
        <v/>
      </c>
      <c r="F26" s="19" t="str">
        <f t="array" ref="F26">IF(X26="","",INDEX('Inventory - P09'!$E$16:$E$27,(INT((X26-1)/4)+1)))</f>
        <v/>
      </c>
      <c r="G26" s="19" t="str">
        <f t="array" ref="G26">IF(X26="","",INDEX('Inventory - P09'!$I$16:$I$27,(INT((X26-1)/4)+1)))</f>
        <v/>
      </c>
      <c r="H26" s="19" t="str">
        <f t="array" ref="H26">IF(X26="","",INDEX('Inventory - P09'!$J$16:$J$27,(INT((X26-1)/4)+1)))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19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P09'!$D$16:$D$27,(INT((X27-1)/4)+1)))</f>
        <v/>
      </c>
      <c r="F27" s="19" t="str">
        <f t="array" ref="F27">IF(X27="","",INDEX('Inventory - P09'!$E$16:$E$27,(INT((X27-1)/4)+1)))</f>
        <v/>
      </c>
      <c r="G27" s="19" t="str">
        <f t="array" ref="G27">IF(X27="","",INDEX('Inventory - P09'!$I$16:$I$27,(INT((X27-1)/4)+1)))</f>
        <v/>
      </c>
      <c r="H27" s="19" t="str">
        <f t="array" ref="H27">IF(X27="","",INDEX('Inventory - P09'!$J$16:$J$27,(INT((X27-1)/4)+1)))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19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P09'!$D$16:$D$27,(INT((X28-1)/4)+1)))</f>
        <v/>
      </c>
      <c r="F28" s="19" t="str">
        <f t="array" ref="F28">IF(X28="","",INDEX('Inventory - P09'!$E$16:$E$27,(INT((X28-1)/4)+1)))</f>
        <v/>
      </c>
      <c r="G28" s="19" t="str">
        <f t="array" ref="G28">IF(X28="","",INDEX('Inventory - P09'!$I$16:$I$27,(INT((X28-1)/4)+1)))</f>
        <v/>
      </c>
      <c r="H28" s="19" t="str">
        <f t="array" ref="H28">IF(X28="","",INDEX('Inventory - P09'!$J$16:$J$27,(INT((X28-1)/4)+1)))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19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P09'!$D$16:$D$27,(INT((X29-1)/4)+1)))</f>
        <v/>
      </c>
      <c r="F29" s="19" t="str">
        <f t="array" ref="F29">IF(X29="","",INDEX('Inventory - P09'!$E$16:$E$27,(INT((X29-1)/4)+1)))</f>
        <v/>
      </c>
      <c r="G29" s="19" t="str">
        <f t="array" ref="G29">IF(X29="","",INDEX('Inventory - P09'!$I$16:$I$27,(INT((X29-1)/4)+1)))</f>
        <v/>
      </c>
      <c r="H29" s="19" t="str">
        <f t="array" ref="H29">IF(X29="","",INDEX('Inventory - P09'!$J$16:$J$27,(INT((X29-1)/4)+1)))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19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P09'!$D$16:$D$27,(INT((X30-1)/4)+1)))</f>
        <v/>
      </c>
      <c r="F30" s="19" t="str">
        <f t="array" ref="F30">IF(X30="","",INDEX('Inventory - P09'!$E$16:$E$27,(INT((X30-1)/4)+1)))</f>
        <v/>
      </c>
      <c r="G30" s="19" t="str">
        <f t="array" ref="G30">IF(X30="","",INDEX('Inventory - P09'!$I$16:$I$27,(INT((X30-1)/4)+1)))</f>
        <v/>
      </c>
      <c r="H30" s="19" t="str">
        <f t="array" ref="H30">IF(X30="","",INDEX('Inventory - P09'!$J$16:$J$27,(INT((X30-1)/4)+1)))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19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P09'!$D$16:$D$27,(INT((X31-1)/4)+1)))</f>
        <v/>
      </c>
      <c r="F31" s="19" t="str">
        <f t="array" ref="F31">IF(X31="","",INDEX('Inventory - P09'!$E$16:$E$27,(INT((X31-1)/4)+1)))</f>
        <v/>
      </c>
      <c r="G31" s="19" t="str">
        <f t="array" ref="G31">IF(X31="","",INDEX('Inventory - P09'!$I$16:$I$27,(INT((X31-1)/4)+1)))</f>
        <v/>
      </c>
      <c r="H31" s="19" t="str">
        <f t="array" ref="H31">IF(X31="","",INDEX('Inventory - P09'!$J$16:$J$27,(INT((X31-1)/4)+1)))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19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P09'!$D$16:$D$27,(INT((X32-1)/4)+1)))</f>
        <v/>
      </c>
      <c r="F32" s="19" t="str">
        <f t="array" ref="F32">IF(X32="","",INDEX('Inventory - P09'!$E$16:$E$27,(INT((X32-1)/4)+1)))</f>
        <v/>
      </c>
      <c r="G32" s="19" t="str">
        <f t="array" ref="G32">IF(X32="","",INDEX('Inventory - P09'!$I$16:$I$27,(INT((X32-1)/4)+1)))</f>
        <v/>
      </c>
      <c r="H32" s="19" t="str">
        <f t="array" ref="H32">IF(X32="","",INDEX('Inventory - P09'!$J$16:$J$27,(INT((X32-1)/4)+1)))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19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P09'!$D$16:$D$27,(INT((X33-1)/4)+1)))</f>
        <v/>
      </c>
      <c r="F33" s="19" t="str">
        <f t="array" ref="F33">IF(X33="","",INDEX('Inventory - P09'!$E$16:$E$27,(INT((X33-1)/4)+1)))</f>
        <v/>
      </c>
      <c r="G33" s="19" t="str">
        <f t="array" ref="G33">IF(X33="","",INDEX('Inventory - P09'!$I$16:$I$27,(INT((X33-1)/4)+1)))</f>
        <v/>
      </c>
      <c r="H33" s="19" t="str">
        <f t="array" ref="H33">IF(X33="","",INDEX('Inventory - P09'!$J$16:$J$27,(INT((X33-1)/4)+1)))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19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P09'!$D$16:$D$27,(INT((X34-1)/4)+1)))</f>
        <v/>
      </c>
      <c r="F34" s="19" t="str">
        <f t="array" ref="F34">IF(X34="","",INDEX('Inventory - P09'!$E$16:$E$27,(INT((X34-1)/4)+1)))</f>
        <v/>
      </c>
      <c r="G34" s="19" t="str">
        <f t="array" ref="G34">IF(X34="","",INDEX('Inventory - P09'!$I$16:$I$27,(INT((X34-1)/4)+1)))</f>
        <v/>
      </c>
      <c r="H34" s="19" t="str">
        <f t="array" ref="H34">IF(X34="","",INDEX('Inventory - P09'!$J$16:$J$27,(INT((X34-1)/4)+1)))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19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P09'!$D$16:$D$27,(INT((X35-1)/4)+1)))</f>
        <v/>
      </c>
      <c r="F35" s="19" t="str">
        <f t="array" ref="F35">IF(X35="","",INDEX('Inventory - P09'!$E$16:$E$27,(INT((X35-1)/4)+1)))</f>
        <v/>
      </c>
      <c r="G35" s="19" t="str">
        <f t="array" ref="G35">IF(X35="","",INDEX('Inventory - P09'!$I$16:$I$27,(INT((X35-1)/4)+1)))</f>
        <v/>
      </c>
      <c r="H35" s="19" t="str">
        <f t="array" ref="H35">IF(X35="","",INDEX('Inventory - P09'!$J$16:$J$27,(INT((X35-1)/4)+1)))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19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P09'!$D$16:$D$27,(INT((X37-1)/4)+1)))</f>
        <v/>
      </c>
      <c r="F37" s="19" t="str">
        <f t="array" ref="F37">IF(X37="","",INDEX('Inventory - P09'!$E$16:$E$27,(INT((X37-1)/4)+1)))</f>
        <v/>
      </c>
      <c r="G37" s="19" t="str">
        <f t="array" ref="G37">IF(X37="","",INDEX('Inventory - P09'!$I$16:$I$27,(INT((X37-1)/4)+1)))</f>
        <v/>
      </c>
      <c r="H37" s="19" t="str">
        <f t="array" ref="H37">IF(X37="","",INDEX('Inventory - P09'!$J$16:$J$27,(INT((X37-1)/4)+1)))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19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P09'!$D$16:$D$27,(INT((X38-1)/4)+1)))</f>
        <v/>
      </c>
      <c r="F38" s="19" t="str">
        <f t="array" ref="F38">IF(X38="","",INDEX('Inventory - P09'!$E$16:$E$27,(INT((X38-1)/4)+1)))</f>
        <v/>
      </c>
      <c r="G38" s="19" t="str">
        <f t="array" ref="G38">IF(X38="","",INDEX('Inventory - P09'!$I$16:$I$27,(INT((X38-1)/4)+1)))</f>
        <v/>
      </c>
      <c r="H38" s="19" t="str">
        <f t="array" ref="H38">IF(X38="","",INDEX('Inventory - P09'!$J$16:$J$27,(INT((X38-1)/4)+1)))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19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P09'!$D$16:$D$27,(INT((X39-1)/4)+1)))</f>
        <v/>
      </c>
      <c r="F39" s="19" t="str">
        <f t="array" ref="F39">IF(X39="","",INDEX('Inventory - P09'!$E$16:$E$27,(INT((X39-1)/4)+1)))</f>
        <v/>
      </c>
      <c r="G39" s="19" t="str">
        <f t="array" ref="G39">IF(X39="","",INDEX('Inventory - P09'!$I$16:$I$27,(INT((X39-1)/4)+1)))</f>
        <v/>
      </c>
      <c r="H39" s="19" t="str">
        <f t="array" ref="H39">IF(X39="","",INDEX('Inventory - P09'!$J$16:$J$27,(INT((X39-1)/4)+1)))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19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P09'!$D$16:$D$27,(INT((X40-1)/4)+1)))</f>
        <v/>
      </c>
      <c r="F40" s="19" t="str">
        <f t="array" ref="F40">IF(X40="","",INDEX('Inventory - P09'!$E$16:$E$27,(INT((X40-1)/4)+1)))</f>
        <v/>
      </c>
      <c r="G40" s="19" t="str">
        <f t="array" ref="G40">IF(X40="","",INDEX('Inventory - P09'!$I$16:$I$27,(INT((X40-1)/4)+1)))</f>
        <v/>
      </c>
      <c r="H40" s="19" t="str">
        <f t="array" ref="H40">IF(X40="","",INDEX('Inventory - P09'!$J$16:$J$27,(INT((X40-1)/4)+1)))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19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P09'!$D$16:$D$27,(INT((X41-1)/4)+1)))</f>
        <v/>
      </c>
      <c r="F41" s="19" t="str">
        <f t="array" ref="F41">IF(X41="","",INDEX('Inventory - P09'!$E$16:$E$27,(INT((X41-1)/4)+1)))</f>
        <v/>
      </c>
      <c r="G41" s="19" t="str">
        <f t="array" ref="G41">IF(X41="","",INDEX('Inventory - P09'!$I$16:$I$27,(INT((X41-1)/4)+1)))</f>
        <v/>
      </c>
      <c r="H41" s="19" t="str">
        <f t="array" ref="H41">IF(X41="","",INDEX('Inventory - P09'!$J$16:$J$27,(INT((X41-1)/4)+1)))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19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P09'!$D$16:$D$27,(INT((X42-1)/4)+1)))</f>
        <v/>
      </c>
      <c r="F42" s="19" t="str">
        <f t="array" ref="F42">IF(X42="","",INDEX('Inventory - P09'!$E$16:$E$27,(INT((X42-1)/4)+1)))</f>
        <v/>
      </c>
      <c r="G42" s="19" t="str">
        <f t="array" ref="G42">IF(X42="","",INDEX('Inventory - P09'!$I$16:$I$27,(INT((X42-1)/4)+1)))</f>
        <v/>
      </c>
      <c r="H42" s="19" t="str">
        <f t="array" ref="H42">IF(X42="","",INDEX('Inventory - P09'!$J$16:$J$27,(INT((X42-1)/4)+1)))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19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P09'!$D$16:$D$27,(INT((X43-1)/4)+1)))</f>
        <v/>
      </c>
      <c r="F43" s="19" t="str">
        <f t="array" ref="F43">IF(X43="","",INDEX('Inventory - P09'!$E$16:$E$27,(INT((X43-1)/4)+1)))</f>
        <v/>
      </c>
      <c r="G43" s="19" t="str">
        <f t="array" ref="G43">IF(X43="","",INDEX('Inventory - P09'!$I$16:$I$27,(INT((X43-1)/4)+1)))</f>
        <v/>
      </c>
      <c r="H43" s="19" t="str">
        <f t="array" ref="H43">IF(X43="","",INDEX('Inventory - P09'!$J$16:$J$27,(INT((X43-1)/4)+1)))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19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P09'!$D$16:$D$27,(INT((X44-1)/4)+1)))</f>
        <v/>
      </c>
      <c r="F44" s="19" t="str">
        <f t="array" ref="F44">IF(X44="","",INDEX('Inventory - P09'!$E$16:$E$27,(INT((X44-1)/4)+1)))</f>
        <v/>
      </c>
      <c r="G44" s="19" t="str">
        <f t="array" ref="G44">IF(X44="","",INDEX('Inventory - P09'!$I$16:$I$27,(INT((X44-1)/4)+1)))</f>
        <v/>
      </c>
      <c r="H44" s="19" t="str">
        <f t="array" ref="H44">IF(X44="","",INDEX('Inventory - P09'!$J$16:$J$27,(INT((X44-1)/4)+1)))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19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P09'!$D$16:$D$27,(INT((X45-1)/4)+1)))</f>
        <v/>
      </c>
      <c r="F45" s="19" t="str">
        <f t="array" ref="F45">IF(X45="","",INDEX('Inventory - P09'!$E$16:$E$27,(INT((X45-1)/4)+1)))</f>
        <v/>
      </c>
      <c r="G45" s="19" t="str">
        <f t="array" ref="G45">IF(X45="","",INDEX('Inventory - P09'!$I$16:$I$27,(INT((X45-1)/4)+1)))</f>
        <v/>
      </c>
      <c r="H45" s="19" t="str">
        <f t="array" ref="H45">IF(X45="","",INDEX('Inventory - P09'!$J$16:$J$27,(INT((X45-1)/4)+1)))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19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P09'!$D$16:$D$27,(INT((X46-1)/4)+1)))</f>
        <v/>
      </c>
      <c r="F46" s="19" t="str">
        <f t="array" ref="F46">IF(X46="","",INDEX('Inventory - P09'!$E$16:$E$27,(INT((X46-1)/4)+1)))</f>
        <v/>
      </c>
      <c r="G46" s="19" t="str">
        <f t="array" ref="G46">IF(X46="","",INDEX('Inventory - P09'!$I$16:$I$27,(INT((X46-1)/4)+1)))</f>
        <v/>
      </c>
      <c r="H46" s="19" t="str">
        <f t="array" ref="H46">IF(X46="","",INDEX('Inventory - P09'!$J$16:$J$27,(INT((X46-1)/4)+1)))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19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P09'!$D$16:$D$27,(INT((X47-1)/4)+1)))</f>
        <v/>
      </c>
      <c r="F47" s="19" t="str">
        <f t="array" ref="F47">IF(X47="","",INDEX('Inventory - P09'!$E$16:$E$27,(INT((X47-1)/4)+1)))</f>
        <v/>
      </c>
      <c r="G47" s="19" t="str">
        <f t="array" ref="G47">IF(X47="","",INDEX('Inventory - P09'!$I$16:$I$27,(INT((X47-1)/4)+1)))</f>
        <v/>
      </c>
      <c r="H47" s="19" t="str">
        <f t="array" ref="H47">IF(X47="","",INDEX('Inventory - P09'!$J$16:$J$27,(INT((X47-1)/4)+1)))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19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P09'!$D$16:$D$27,(INT((X48-1)/4)+1)))</f>
        <v/>
      </c>
      <c r="F48" s="19" t="str">
        <f t="array" ref="F48">IF(X48="","",INDEX('Inventory - P09'!$E$16:$E$27,(INT((X48-1)/4)+1)))</f>
        <v/>
      </c>
      <c r="G48" s="19" t="str">
        <f t="array" ref="G48">IF(X48="","",INDEX('Inventory - P09'!$I$16:$I$27,(INT((X48-1)/4)+1)))</f>
        <v/>
      </c>
      <c r="H48" s="19" t="str">
        <f t="array" ref="H48">IF(X48="","",INDEX('Inventory - P09'!$J$16:$J$27,(INT((X48-1)/4)+1)))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19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P09'!$D$16:$D$27,(INT((X50-1)/4)+1)))</f>
        <v/>
      </c>
      <c r="F50" s="19" t="str">
        <f t="array" ref="F50">IF(X50="","",INDEX('Inventory - P09'!$E$16:$E$27,(INT((X50-1)/4)+1)))</f>
        <v/>
      </c>
      <c r="G50" s="19" t="str">
        <f t="array" ref="G50">IF(X50="","",INDEX('Inventory - P09'!$I$16:$I$27,(INT((X50-1)/4)+1)))</f>
        <v/>
      </c>
      <c r="H50" s="19" t="str">
        <f t="array" ref="H50">IF(X50="","",INDEX('Inventory - P09'!$J$16:$J$27,(INT((X50-1)/4)+1)))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19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P09'!$D$16:$D$27,(INT((X51-1)/4)+1)))</f>
        <v/>
      </c>
      <c r="F51" s="19" t="str">
        <f t="array" ref="F51">IF(X51="","",INDEX('Inventory - P09'!$E$16:$E$27,(INT((X51-1)/4)+1)))</f>
        <v/>
      </c>
      <c r="G51" s="19" t="str">
        <f t="array" ref="G51">IF(X51="","",INDEX('Inventory - P09'!$I$16:$I$27,(INT((X51-1)/4)+1)))</f>
        <v/>
      </c>
      <c r="H51" s="19" t="str">
        <f t="array" ref="H51">IF(X51="","",INDEX('Inventory - P09'!$J$16:$J$27,(INT((X51-1)/4)+1)))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19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P09'!$D$16:$D$27,(INT((X52-1)/4)+1)))</f>
        <v/>
      </c>
      <c r="F52" s="19" t="str">
        <f t="array" ref="F52">IF(X52="","",INDEX('Inventory - P09'!$E$16:$E$27,(INT((X52-1)/4)+1)))</f>
        <v/>
      </c>
      <c r="G52" s="19" t="str">
        <f t="array" ref="G52">IF(X52="","",INDEX('Inventory - P09'!$I$16:$I$27,(INT((X52-1)/4)+1)))</f>
        <v/>
      </c>
      <c r="H52" s="19" t="str">
        <f t="array" ref="H52">IF(X52="","",INDEX('Inventory - P09'!$J$16:$J$27,(INT((X52-1)/4)+1)))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19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P09'!$D$16:$D$27,(INT((X53-1)/4)+1)))</f>
        <v/>
      </c>
      <c r="F53" s="19" t="str">
        <f t="array" ref="F53">IF(X53="","",INDEX('Inventory - P09'!$E$16:$E$27,(INT((X53-1)/4)+1)))</f>
        <v/>
      </c>
      <c r="G53" s="19" t="str">
        <f t="array" ref="G53">IF(X53="","",INDEX('Inventory - P09'!$I$16:$I$27,(INT((X53-1)/4)+1)))</f>
        <v/>
      </c>
      <c r="H53" s="19" t="str">
        <f t="array" ref="H53">IF(X53="","",INDEX('Inventory - P09'!$J$16:$J$27,(INT((X53-1)/4)+1)))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19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P09'!$D$16:$D$27,(INT((X54-1)/4)+1)))</f>
        <v/>
      </c>
      <c r="F54" s="19" t="str">
        <f t="array" ref="F54">IF(X54="","",INDEX('Inventory - P09'!$E$16:$E$27,(INT((X54-1)/4)+1)))</f>
        <v/>
      </c>
      <c r="G54" s="19" t="str">
        <f t="array" ref="G54">IF(X54="","",INDEX('Inventory - P09'!$I$16:$I$27,(INT((X54-1)/4)+1)))</f>
        <v/>
      </c>
      <c r="H54" s="19" t="str">
        <f t="array" ref="H54">IF(X54="","",INDEX('Inventory - P09'!$J$16:$J$27,(INT((X54-1)/4)+1)))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19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P09'!$D$16:$D$27,(INT((X55-1)/4)+1)))</f>
        <v/>
      </c>
      <c r="F55" s="19" t="str">
        <f t="array" ref="F55">IF(X55="","",INDEX('Inventory - P09'!$E$16:$E$27,(INT((X55-1)/4)+1)))</f>
        <v/>
      </c>
      <c r="G55" s="19" t="str">
        <f t="array" ref="G55">IF(X55="","",INDEX('Inventory - P09'!$I$16:$I$27,(INT((X55-1)/4)+1)))</f>
        <v/>
      </c>
      <c r="H55" s="19" t="str">
        <f t="array" ref="H55">IF(X55="","",INDEX('Inventory - P09'!$J$16:$J$27,(INT((X55-1)/4)+1)))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19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P09'!$D$16:$D$27,(INT((X56-1)/4)+1)))</f>
        <v/>
      </c>
      <c r="F56" s="19" t="str">
        <f t="array" ref="F56">IF(X56="","",INDEX('Inventory - P09'!$E$16:$E$27,(INT((X56-1)/4)+1)))</f>
        <v/>
      </c>
      <c r="G56" s="19" t="str">
        <f t="array" ref="G56">IF(X56="","",INDEX('Inventory - P09'!$I$16:$I$27,(INT((X56-1)/4)+1)))</f>
        <v/>
      </c>
      <c r="H56" s="19" t="str">
        <f t="array" ref="H56">IF(X56="","",INDEX('Inventory - P09'!$J$16:$J$27,(INT((X56-1)/4)+1)))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19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P09'!$D$16:$D$27,(INT((X57-1)/4)+1)))</f>
        <v/>
      </c>
      <c r="F57" s="19" t="str">
        <f t="array" ref="F57">IF(X57="","",INDEX('Inventory - P09'!$E$16:$E$27,(INT((X57-1)/4)+1)))</f>
        <v/>
      </c>
      <c r="G57" s="19" t="str">
        <f t="array" ref="G57">IF(X57="","",INDEX('Inventory - P09'!$I$16:$I$27,(INT((X57-1)/4)+1)))</f>
        <v/>
      </c>
      <c r="H57" s="19" t="str">
        <f t="array" ref="H57">IF(X57="","",INDEX('Inventory - P09'!$J$16:$J$27,(INT((X57-1)/4)+1)))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19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P09'!$D$16:$D$27,(INT((X58-1)/4)+1)))</f>
        <v/>
      </c>
      <c r="F58" s="19" t="str">
        <f t="array" ref="F58">IF(X58="","",INDEX('Inventory - P09'!$E$16:$E$27,(INT((X58-1)/4)+1)))</f>
        <v/>
      </c>
      <c r="G58" s="19" t="str">
        <f t="array" ref="G58">IF(X58="","",INDEX('Inventory - P09'!$I$16:$I$27,(INT((X58-1)/4)+1)))</f>
        <v/>
      </c>
      <c r="H58" s="19" t="str">
        <f t="array" ref="H58">IF(X58="","",INDEX('Inventory - P09'!$J$16:$J$27,(INT((X58-1)/4)+1)))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19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P09'!$D$16:$D$27,(INT((X59-1)/4)+1)))</f>
        <v/>
      </c>
      <c r="F59" s="19" t="str">
        <f t="array" ref="F59">IF(X59="","",INDEX('Inventory - P09'!$E$16:$E$27,(INT((X59-1)/4)+1)))</f>
        <v/>
      </c>
      <c r="G59" s="19" t="str">
        <f t="array" ref="G59">IF(X59="","",INDEX('Inventory - P09'!$I$16:$I$27,(INT((X59-1)/4)+1)))</f>
        <v/>
      </c>
      <c r="H59" s="19" t="str">
        <f t="array" ref="H59">IF(X59="","",INDEX('Inventory - P09'!$J$16:$J$27,(INT((X59-1)/4)+1)))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19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P09'!$D$16:$D$27,(INT((X60-1)/4)+1)))</f>
        <v/>
      </c>
      <c r="F60" s="19" t="str">
        <f t="array" ref="F60">IF(X60="","",INDEX('Inventory - P09'!$E$16:$E$27,(INT((X60-1)/4)+1)))</f>
        <v/>
      </c>
      <c r="G60" s="19" t="str">
        <f t="array" ref="G60">IF(X60="","",INDEX('Inventory - P09'!$I$16:$I$27,(INT((X60-1)/4)+1)))</f>
        <v/>
      </c>
      <c r="H60" s="19" t="str">
        <f t="array" ref="H60">IF(X60="","",INDEX('Inventory - P09'!$J$16:$J$27,(INT((X60-1)/4)+1)))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19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P09'!$D$16:$D$27,(INT((X61-1)/4)+1)))</f>
        <v/>
      </c>
      <c r="F61" s="19" t="str">
        <f t="array" ref="F61">IF(X61="","",INDEX('Inventory - P09'!$E$16:$E$27,(INT((X61-1)/4)+1)))</f>
        <v/>
      </c>
      <c r="G61" s="19" t="str">
        <f t="array" ref="G61">IF(X61="","",INDEX('Inventory - P09'!$I$16:$I$27,(INT((X61-1)/4)+1)))</f>
        <v/>
      </c>
      <c r="H61" s="19" t="str">
        <f t="array" ref="H61">IF(X61="","",INDEX('Inventory - P09'!$J$16:$J$27,(INT((X61-1)/4)+1)))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P09'!E16&lt;1,'Inventory - P09'!F16="",'Inventory - P09'!G16=""),9,MOD('Inventory - P09'!F16+0*'Inventory - P09'!G16/24,1))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P09'!E16&lt;2,'Inventory - P09'!F16="",'Inventory - P09'!G16=""),9,MOD('Inventory - P09'!F16+1*'Inventory - P09'!G16/24,1))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P09'!E16&lt;3,'Inventory - P09'!F16="",'Inventory - P09'!G16=""),9,MOD('Inventory - P09'!F16+2*'Inventory - P09'!G16/24,1))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P09'!E16&lt;4,'Inventory - P09'!F16="",'Inventory - P09'!G16=""),9,MOD('Inventory - P09'!F16+3*'Inventory - P09'!G16/24,1))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P09'!E17&lt;1,'Inventory - P09'!F17="",'Inventory - P09'!G17=""),9,MOD('Inventory - P09'!F17+0*'Inventory - P09'!G17/24,1))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P09'!E17&lt;2,'Inventory - P09'!F17="",'Inventory - P09'!G17=""),9,MOD('Inventory - P09'!F17+1*'Inventory - P09'!G17/24,1))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P09'!E17&lt;3,'Inventory - P09'!F17="",'Inventory - P09'!G17=""),9,MOD('Inventory - P09'!F17+2*'Inventory - P09'!G17/24,1))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P09'!E17&lt;4,'Inventory - P09'!F17="",'Inventory - P09'!G17=""),9,MOD('Inventory - P09'!F17+3*'Inventory - P09'!G17/24,1))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P09'!E18&lt;1,'Inventory - P09'!F18="",'Inventory - P09'!G18=""),9,MOD('Inventory - P09'!F18+0*'Inventory - P09'!G18/24,1))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P09'!E18&lt;2,'Inventory - P09'!F18="",'Inventory - P09'!G18=""),9,MOD('Inventory - P09'!F18+1*'Inventory - P09'!G18/24,1))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P09'!E18&lt;3,'Inventory - P09'!F18="",'Inventory - P09'!G18=""),9,MOD('Inventory - P09'!F18+2*'Inventory - P09'!G18/24,1))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P09'!E18&lt;4,'Inventory - P09'!F18="",'Inventory - P09'!G18=""),9,MOD('Inventory - P09'!F18+3*'Inventory - P09'!G18/24,1))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P09'!E19&lt;1,'Inventory - P09'!F19="",'Inventory - P09'!G19=""),9,MOD('Inventory - P09'!F19+0*'Inventory - P09'!G19/24,1))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P09'!E19&lt;2,'Inventory - P09'!F19="",'Inventory - P09'!G19=""),9,MOD('Inventory - P09'!F19+1*'Inventory - P09'!G19/24,1))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P09'!E19&lt;3,'Inventory - P09'!F19="",'Inventory - P09'!G19=""),9,MOD('Inventory - P09'!F19+2*'Inventory - P09'!G19/24,1))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P09'!E19&lt;4,'Inventory - P09'!F19="",'Inventory - P09'!G19=""),9,MOD('Inventory - P09'!F19+3*'Inventory - P09'!G19/24,1))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P09'!E20&lt;1,'Inventory - P09'!F20="",'Inventory - P09'!G20=""),9,MOD('Inventory - P09'!F20+0*'Inventory - P09'!G20/24,1))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P09'!E20&lt;2,'Inventory - P09'!F20="",'Inventory - P09'!G20=""),9,MOD('Inventory - P09'!F20+1*'Inventory - P09'!G20/24,1))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P09'!E20&lt;3,'Inventory - P09'!F20="",'Inventory - P09'!G20=""),9,MOD('Inventory - P09'!F20+2*'Inventory - P09'!G20/24,1))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P09'!E20&lt;4,'Inventory - P09'!F20="",'Inventory - P09'!G20=""),9,MOD('Inventory - P09'!F20+3*'Inventory - P09'!G20/24,1))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P09'!E21&lt;1,'Inventory - P09'!F21="",'Inventory - P09'!G21=""),9,MOD('Inventory - P09'!F21+0*'Inventory - P09'!G21/24,1))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P09'!E21&lt;2,'Inventory - P09'!F21="",'Inventory - P09'!G21=""),9,MOD('Inventory - P09'!F21+1*'Inventory - P09'!G21/24,1))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P09'!E21&lt;3,'Inventory - P09'!F21="",'Inventory - P09'!G21=""),9,MOD('Inventory - P09'!F21+2*'Inventory - P09'!G21/24,1))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P09'!E21&lt;4,'Inventory - P09'!F21="",'Inventory - P09'!G21=""),9,MOD('Inventory - P09'!F21+3*'Inventory - P09'!G21/24,1))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P09'!E22&lt;1,'Inventory - P09'!F22="",'Inventory - P09'!G22=""),9,MOD('Inventory - P09'!F22+0*'Inventory - P09'!G22/24,1))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P09'!E22&lt;2,'Inventory - P09'!F22="",'Inventory - P09'!G22=""),9,MOD('Inventory - P09'!F22+1*'Inventory - P09'!G22/24,1))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P09'!E22&lt;3,'Inventory - P09'!F22="",'Inventory - P09'!G22=""),9,MOD('Inventory - P09'!F22+2*'Inventory - P09'!G22/24,1))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P09'!E22&lt;4,'Inventory - P09'!F22="",'Inventory - P09'!G22=""),9,MOD('Inventory - P09'!F22+3*'Inventory - P09'!G22/24,1))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P09'!E23&lt;1,'Inventory - P09'!F23="",'Inventory - P09'!G23=""),9,MOD('Inventory - P09'!F23+0*'Inventory - P09'!G23/24,1))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P09'!E23&lt;2,'Inventory - P09'!F23="",'Inventory - P09'!G23=""),9,MOD('Inventory - P09'!F23+1*'Inventory - P09'!G23/24,1))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P09'!E23&lt;3,'Inventory - P09'!F23="",'Inventory - P09'!G23=""),9,MOD('Inventory - P09'!F23+2*'Inventory - P09'!G23/24,1))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P09'!E23&lt;4,'Inventory - P09'!F23="",'Inventory - P09'!G23=""),9,MOD('Inventory - P09'!F23+3*'Inventory - P09'!G23/24,1))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P09'!E24&lt;1,'Inventory - P09'!F24="",'Inventory - P09'!G24=""),9,MOD('Inventory - P09'!F24+0*'Inventory - P09'!G24/24,1))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P09'!E24&lt;2,'Inventory - P09'!F24="",'Inventory - P09'!G24=""),9,MOD('Inventory - P09'!F24+1*'Inventory - P09'!G24/24,1))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P09'!E24&lt;3,'Inventory - P09'!F24="",'Inventory - P09'!G24=""),9,MOD('Inventory - P09'!F24+2*'Inventory - P09'!G24/24,1))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P09'!E24&lt;4,'Inventory - P09'!F24="",'Inventory - P09'!G24=""),9,MOD('Inventory - P09'!F24+3*'Inventory - P09'!G24/24,1))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P09'!E25&lt;1,'Inventory - P09'!F25="",'Inventory - P09'!G25=""),9,MOD('Inventory - P09'!F25+0*'Inventory - P09'!G25/24,1))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P09'!E25&lt;2,'Inventory - P09'!F25="",'Inventory - P09'!G25=""),9,MOD('Inventory - P09'!F25+1*'Inventory - P09'!G25/24,1))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P09'!E25&lt;3,'Inventory - P09'!F25="",'Inventory - P09'!G25=""),9,MOD('Inventory - P09'!F25+2*'Inventory - P09'!G25/24,1))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P09'!E25&lt;4,'Inventory - P09'!F25="",'Inventory - P09'!G25=""),9,MOD('Inventory - P09'!F25+3*'Inventory - P09'!G25/24,1))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P09'!E26&lt;1,'Inventory - P09'!F26="",'Inventory - P09'!G26=""),9,MOD('Inventory - P09'!F26+0*'Inventory - P09'!G26/24,1))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P09'!E26&lt;2,'Inventory - P09'!F26="",'Inventory - P09'!G26=""),9,MOD('Inventory - P09'!F26+1*'Inventory - P09'!G26/24,1))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P09'!E26&lt;3,'Inventory - P09'!F26="",'Inventory - P09'!G26=""),9,MOD('Inventory - P09'!F26+2*'Inventory - P09'!G26/24,1))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P09'!E26&lt;4,'Inventory - P09'!F26="",'Inventory - P09'!G26=""),9,MOD('Inventory - P09'!F26+3*'Inventory - P09'!G26/24,1))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P09'!E27&lt;1,'Inventory - P09'!F27="",'Inventory - P09'!G27=""),9,MOD('Inventory - P09'!F27+0*'Inventory - P09'!G27/24,1))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P09'!E27&lt;2,'Inventory - P09'!F27="",'Inventory - P09'!G27=""),9,MOD('Inventory - P09'!F27+1*'Inventory - P09'!G27/24,1))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P09'!E27&lt;3,'Inventory - P09'!F27="",'Inventory - P09'!G27=""),9,MOD('Inventory - P09'!F27+2*'Inventory - P09'!G27/24,1))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P09'!E27&lt;4,'Inventory - P09'!F27="",'Inventory - P09'!G27=""),9,MOD('Inventory - P09'!F27+3*'Inventory - P09'!G27/24,1))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Tracker'!S14="","","INV-"&amp;SUBSTITUTE('Client Needs Tracker'!S14," ",""))</f>
        <v>INV-F-1B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Tracker'!B14="","(Add client on Client Needs Tracker, row 14)",'Client Needs Tracker'!B14)</f>
        <v>(Add client on Client Needs Tracker, row 14)</v>
      </c>
      <c r="B6" s="104"/>
      <c r="C6" s="104"/>
      <c r="D6" s="104"/>
      <c r="E6" s="104"/>
      <c r="F6" s="105" t="str">
        <f>'Client Needs Tracker'!A14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Tracker'!C14="","",'Client Needs Tracker'!C14)</f>
        <v/>
      </c>
      <c r="B8" s="104"/>
      <c r="C8" s="104"/>
      <c r="D8" s="104"/>
      <c r="E8" s="104"/>
      <c r="F8" s="108" t="str">
        <f>'Client Needs Tracker'!E14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Tracker'!F14="","",'Client Needs Tracker'!F14)</f>
        <v/>
      </c>
      <c r="B10" s="104"/>
      <c r="C10" s="104"/>
      <c r="D10" s="104"/>
      <c r="E10" s="104"/>
      <c r="F10" s="110" t="str">
        <f>IF('Client Status Board'!G14="","",'Client Status Board'!G14)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Board'!L14="","",'Client Status Board'!L14)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/>
      </c>
    </row>
    <row r="3" ht="15.0" customHeight="1">
      <c r="A3" s="130" t="str">
        <f>IF('Inventory - P10'!A6="","(Enter name in Inventory - P10)",'Inventory - P10'!A6)</f>
        <v>(Add client on Client Needs Tracker, row 14)</v>
      </c>
      <c r="B3" s="131"/>
      <c r="C3" s="131"/>
      <c r="D3" s="131"/>
      <c r="E3" s="131"/>
      <c r="F3" s="132" t="str">
        <f>IF('Inventory - P10'!F6="","(Enter ID in Inventory - P10)","Member ID: "&amp;'Inventory - P10'!F6)</f>
        <v>(Enter ID in Inventory - P10)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Tracker'!S14="","","INV-"&amp;SUBSTITUTE('Client Needs Tracker'!S14," ",""))</f>
        <v>INV-F-1B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P10'!F8="","-",'Inventory - P10'!F8)</f>
        <v>LOC: -</v>
      </c>
      <c r="C5" s="3"/>
      <c r="D5" s="134" t="str">
        <f>"Case Manager: "&amp;IF('Inventory - P10'!A10="","-",'Inventory - P10'!A10)</f>
        <v>Case Manager: -</v>
      </c>
      <c r="F5" s="3"/>
      <c r="G5" s="134" t="str">
        <f>"Doctor: "&amp;IF('Inventory - P10'!F10="","-",'Inventory - P10'!F10)</f>
        <v>Doctor: -</v>
      </c>
      <c r="I5" s="3"/>
      <c r="J5" s="134" t="str">
        <f>"Pharmacy: "&amp;IF('Inventory - P10'!A12="","-",'Inventory - P10'!A12)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P10'!A14="","",'Inventory - P10'!A14)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P10'!A14="","",'Inventory - P10'!A14+0)</f>
        <v/>
      </c>
      <c r="J8" s="139"/>
      <c r="K8" s="138" t="str">
        <f>IF('Inventory - P10'!A14="","",'Inventory - P10'!A14+1)</f>
        <v/>
      </c>
      <c r="L8" s="139"/>
      <c r="M8" s="138" t="str">
        <f>IF('Inventory - P10'!A14="","",'Inventory - P10'!A14+2)</f>
        <v/>
      </c>
      <c r="N8" s="139"/>
      <c r="O8" s="138" t="str">
        <f>IF('Inventory - P10'!A14="","",'Inventory - P10'!A14+3)</f>
        <v/>
      </c>
      <c r="P8" s="139"/>
      <c r="Q8" s="138" t="str">
        <f>IF('Inventory - P10'!A14="","",'Inventory - P10'!A14+4)</f>
        <v/>
      </c>
      <c r="R8" s="139"/>
      <c r="S8" s="138" t="str">
        <f>IF('Inventory - P10'!A14="","",'Inventory - P10'!A14+5)</f>
        <v/>
      </c>
      <c r="T8" s="139"/>
      <c r="U8" s="138" t="str">
        <f>IF('Inventory - P10'!A14="","",'Inventory - P10'!A14+6)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19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P10'!$D$16:$D$27,(INT((X11-1)/4)+1)))</f>
        <v/>
      </c>
      <c r="F11" s="19" t="str">
        <f t="array" ref="F11">IF(X11="","",INDEX('Inventory - P10'!$E$16:$E$27,(INT((X11-1)/4)+1)))</f>
        <v/>
      </c>
      <c r="G11" s="19" t="str">
        <f t="array" ref="G11">IF(X11="","",INDEX('Inventory - P10'!$I$16:$I$27,(INT((X11-1)/4)+1)))</f>
        <v/>
      </c>
      <c r="H11" s="19" t="str">
        <f t="array" ref="H11">IF(X11="","",INDEX('Inventory - P10'!$J$16:$J$27,(INT((X11-1)/4)+1)))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19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P10'!$D$16:$D$27,(INT((X12-1)/4)+1)))</f>
        <v/>
      </c>
      <c r="F12" s="19" t="str">
        <f t="array" ref="F12">IF(X12="","",INDEX('Inventory - P10'!$E$16:$E$27,(INT((X12-1)/4)+1)))</f>
        <v/>
      </c>
      <c r="G12" s="19" t="str">
        <f t="array" ref="G12">IF(X12="","",INDEX('Inventory - P10'!$I$16:$I$27,(INT((X12-1)/4)+1)))</f>
        <v/>
      </c>
      <c r="H12" s="19" t="str">
        <f t="array" ref="H12">IF(X12="","",INDEX('Inventory - P10'!$J$16:$J$27,(INT((X12-1)/4)+1)))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19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P10'!$D$16:$D$27,(INT((X13-1)/4)+1)))</f>
        <v/>
      </c>
      <c r="F13" s="19" t="str">
        <f t="array" ref="F13">IF(X13="","",INDEX('Inventory - P10'!$E$16:$E$27,(INT((X13-1)/4)+1)))</f>
        <v/>
      </c>
      <c r="G13" s="19" t="str">
        <f t="array" ref="G13">IF(X13="","",INDEX('Inventory - P10'!$I$16:$I$27,(INT((X13-1)/4)+1)))</f>
        <v/>
      </c>
      <c r="H13" s="19" t="str">
        <f t="array" ref="H13">IF(X13="","",INDEX('Inventory - P10'!$J$16:$J$27,(INT((X13-1)/4)+1)))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19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P10'!$D$16:$D$27,(INT((X14-1)/4)+1)))</f>
        <v/>
      </c>
      <c r="F14" s="19" t="str">
        <f t="array" ref="F14">IF(X14="","",INDEX('Inventory - P10'!$E$16:$E$27,(INT((X14-1)/4)+1)))</f>
        <v/>
      </c>
      <c r="G14" s="19" t="str">
        <f t="array" ref="G14">IF(X14="","",INDEX('Inventory - P10'!$I$16:$I$27,(INT((X14-1)/4)+1)))</f>
        <v/>
      </c>
      <c r="H14" s="19" t="str">
        <f t="array" ref="H14">IF(X14="","",INDEX('Inventory - P10'!$J$16:$J$27,(INT((X14-1)/4)+1)))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19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P10'!$D$16:$D$27,(INT((X15-1)/4)+1)))</f>
        <v/>
      </c>
      <c r="F15" s="19" t="str">
        <f t="array" ref="F15">IF(X15="","",INDEX('Inventory - P10'!$E$16:$E$27,(INT((X15-1)/4)+1)))</f>
        <v/>
      </c>
      <c r="G15" s="19" t="str">
        <f t="array" ref="G15">IF(X15="","",INDEX('Inventory - P10'!$I$16:$I$27,(INT((X15-1)/4)+1)))</f>
        <v/>
      </c>
      <c r="H15" s="19" t="str">
        <f t="array" ref="H15">IF(X15="","",INDEX('Inventory - P10'!$J$16:$J$27,(INT((X15-1)/4)+1)))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19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P10'!$D$16:$D$27,(INT((X16-1)/4)+1)))</f>
        <v/>
      </c>
      <c r="F16" s="19" t="str">
        <f t="array" ref="F16">IF(X16="","",INDEX('Inventory - P10'!$E$16:$E$27,(INT((X16-1)/4)+1)))</f>
        <v/>
      </c>
      <c r="G16" s="19" t="str">
        <f t="array" ref="G16">IF(X16="","",INDEX('Inventory - P10'!$I$16:$I$27,(INT((X16-1)/4)+1)))</f>
        <v/>
      </c>
      <c r="H16" s="19" t="str">
        <f t="array" ref="H16">IF(X16="","",INDEX('Inventory - P10'!$J$16:$J$27,(INT((X16-1)/4)+1)))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19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P10'!$D$16:$D$27,(INT((X17-1)/4)+1)))</f>
        <v/>
      </c>
      <c r="F17" s="19" t="str">
        <f t="array" ref="F17">IF(X17="","",INDEX('Inventory - P10'!$E$16:$E$27,(INT((X17-1)/4)+1)))</f>
        <v/>
      </c>
      <c r="G17" s="19" t="str">
        <f t="array" ref="G17">IF(X17="","",INDEX('Inventory - P10'!$I$16:$I$27,(INT((X17-1)/4)+1)))</f>
        <v/>
      </c>
      <c r="H17" s="19" t="str">
        <f t="array" ref="H17">IF(X17="","",INDEX('Inventory - P10'!$J$16:$J$27,(INT((X17-1)/4)+1)))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19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P10'!$D$16:$D$27,(INT((X18-1)/4)+1)))</f>
        <v/>
      </c>
      <c r="F18" s="19" t="str">
        <f t="array" ref="F18">IF(X18="","",INDEX('Inventory - P10'!$E$16:$E$27,(INT((X18-1)/4)+1)))</f>
        <v/>
      </c>
      <c r="G18" s="19" t="str">
        <f t="array" ref="G18">IF(X18="","",INDEX('Inventory - P10'!$I$16:$I$27,(INT((X18-1)/4)+1)))</f>
        <v/>
      </c>
      <c r="H18" s="19" t="str">
        <f t="array" ref="H18">IF(X18="","",INDEX('Inventory - P10'!$J$16:$J$27,(INT((X18-1)/4)+1)))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19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P10'!$D$16:$D$27,(INT((X19-1)/4)+1)))</f>
        <v/>
      </c>
      <c r="F19" s="19" t="str">
        <f t="array" ref="F19">IF(X19="","",INDEX('Inventory - P10'!$E$16:$E$27,(INT((X19-1)/4)+1)))</f>
        <v/>
      </c>
      <c r="G19" s="19" t="str">
        <f t="array" ref="G19">IF(X19="","",INDEX('Inventory - P10'!$I$16:$I$27,(INT((X19-1)/4)+1)))</f>
        <v/>
      </c>
      <c r="H19" s="19" t="str">
        <f t="array" ref="H19">IF(X19="","",INDEX('Inventory - P10'!$J$16:$J$27,(INT((X19-1)/4)+1)))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19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P10'!$D$16:$D$27,(INT((X20-1)/4)+1)))</f>
        <v/>
      </c>
      <c r="F20" s="19" t="str">
        <f t="array" ref="F20">IF(X20="","",INDEX('Inventory - P10'!$E$16:$E$27,(INT((X20-1)/4)+1)))</f>
        <v/>
      </c>
      <c r="G20" s="19" t="str">
        <f t="array" ref="G20">IF(X20="","",INDEX('Inventory - P10'!$I$16:$I$27,(INT((X20-1)/4)+1)))</f>
        <v/>
      </c>
      <c r="H20" s="19" t="str">
        <f t="array" ref="H20">IF(X20="","",INDEX('Inventory - P10'!$J$16:$J$27,(INT((X20-1)/4)+1)))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19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P10'!$D$16:$D$27,(INT((X21-1)/4)+1)))</f>
        <v/>
      </c>
      <c r="F21" s="19" t="str">
        <f t="array" ref="F21">IF(X21="","",INDEX('Inventory - P10'!$E$16:$E$27,(INT((X21-1)/4)+1)))</f>
        <v/>
      </c>
      <c r="G21" s="19" t="str">
        <f t="array" ref="G21">IF(X21="","",INDEX('Inventory - P10'!$I$16:$I$27,(INT((X21-1)/4)+1)))</f>
        <v/>
      </c>
      <c r="H21" s="19" t="str">
        <f t="array" ref="H21">IF(X21="","",INDEX('Inventory - P10'!$J$16:$J$27,(INT((X21-1)/4)+1)))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19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P10'!$D$16:$D$27,(INT((X22-1)/4)+1)))</f>
        <v/>
      </c>
      <c r="F22" s="19" t="str">
        <f t="array" ref="F22">IF(X22="","",INDEX('Inventory - P10'!$E$16:$E$27,(INT((X22-1)/4)+1)))</f>
        <v/>
      </c>
      <c r="G22" s="19" t="str">
        <f t="array" ref="G22">IF(X22="","",INDEX('Inventory - P10'!$I$16:$I$27,(INT((X22-1)/4)+1)))</f>
        <v/>
      </c>
      <c r="H22" s="19" t="str">
        <f t="array" ref="H22">IF(X22="","",INDEX('Inventory - P10'!$J$16:$J$27,(INT((X22-1)/4)+1)))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19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P10'!$D$16:$D$27,(INT((X24-1)/4)+1)))</f>
        <v/>
      </c>
      <c r="F24" s="19" t="str">
        <f t="array" ref="F24">IF(X24="","",INDEX('Inventory - P10'!$E$16:$E$27,(INT((X24-1)/4)+1)))</f>
        <v/>
      </c>
      <c r="G24" s="19" t="str">
        <f t="array" ref="G24">IF(X24="","",INDEX('Inventory - P10'!$I$16:$I$27,(INT((X24-1)/4)+1)))</f>
        <v/>
      </c>
      <c r="H24" s="19" t="str">
        <f t="array" ref="H24">IF(X24="","",INDEX('Inventory - P10'!$J$16:$J$27,(INT((X24-1)/4)+1)))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19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P10'!$D$16:$D$27,(INT((X25-1)/4)+1)))</f>
        <v/>
      </c>
      <c r="F25" s="19" t="str">
        <f t="array" ref="F25">IF(X25="","",INDEX('Inventory - P10'!$E$16:$E$27,(INT((X25-1)/4)+1)))</f>
        <v/>
      </c>
      <c r="G25" s="19" t="str">
        <f t="array" ref="G25">IF(X25="","",INDEX('Inventory - P10'!$I$16:$I$27,(INT((X25-1)/4)+1)))</f>
        <v/>
      </c>
      <c r="H25" s="19" t="str">
        <f t="array" ref="H25">IF(X25="","",INDEX('Inventory - P10'!$J$16:$J$27,(INT((X25-1)/4)+1)))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19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P10'!$D$16:$D$27,(INT((X26-1)/4)+1)))</f>
        <v/>
      </c>
      <c r="F26" s="19" t="str">
        <f t="array" ref="F26">IF(X26="","",INDEX('Inventory - P10'!$E$16:$E$27,(INT((X26-1)/4)+1)))</f>
        <v/>
      </c>
      <c r="G26" s="19" t="str">
        <f t="array" ref="G26">IF(X26="","",INDEX('Inventory - P10'!$I$16:$I$27,(INT((X26-1)/4)+1)))</f>
        <v/>
      </c>
      <c r="H26" s="19" t="str">
        <f t="array" ref="H26">IF(X26="","",INDEX('Inventory - P10'!$J$16:$J$27,(INT((X26-1)/4)+1)))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19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P10'!$D$16:$D$27,(INT((X27-1)/4)+1)))</f>
        <v/>
      </c>
      <c r="F27" s="19" t="str">
        <f t="array" ref="F27">IF(X27="","",INDEX('Inventory - P10'!$E$16:$E$27,(INT((X27-1)/4)+1)))</f>
        <v/>
      </c>
      <c r="G27" s="19" t="str">
        <f t="array" ref="G27">IF(X27="","",INDEX('Inventory - P10'!$I$16:$I$27,(INT((X27-1)/4)+1)))</f>
        <v/>
      </c>
      <c r="H27" s="19" t="str">
        <f t="array" ref="H27">IF(X27="","",INDEX('Inventory - P10'!$J$16:$J$27,(INT((X27-1)/4)+1)))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19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P10'!$D$16:$D$27,(INT((X28-1)/4)+1)))</f>
        <v/>
      </c>
      <c r="F28" s="19" t="str">
        <f t="array" ref="F28">IF(X28="","",INDEX('Inventory - P10'!$E$16:$E$27,(INT((X28-1)/4)+1)))</f>
        <v/>
      </c>
      <c r="G28" s="19" t="str">
        <f t="array" ref="G28">IF(X28="","",INDEX('Inventory - P10'!$I$16:$I$27,(INT((X28-1)/4)+1)))</f>
        <v/>
      </c>
      <c r="H28" s="19" t="str">
        <f t="array" ref="H28">IF(X28="","",INDEX('Inventory - P10'!$J$16:$J$27,(INT((X28-1)/4)+1)))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19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P10'!$D$16:$D$27,(INT((X29-1)/4)+1)))</f>
        <v/>
      </c>
      <c r="F29" s="19" t="str">
        <f t="array" ref="F29">IF(X29="","",INDEX('Inventory - P10'!$E$16:$E$27,(INT((X29-1)/4)+1)))</f>
        <v/>
      </c>
      <c r="G29" s="19" t="str">
        <f t="array" ref="G29">IF(X29="","",INDEX('Inventory - P10'!$I$16:$I$27,(INT((X29-1)/4)+1)))</f>
        <v/>
      </c>
      <c r="H29" s="19" t="str">
        <f t="array" ref="H29">IF(X29="","",INDEX('Inventory - P10'!$J$16:$J$27,(INT((X29-1)/4)+1)))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19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P10'!$D$16:$D$27,(INT((X30-1)/4)+1)))</f>
        <v/>
      </c>
      <c r="F30" s="19" t="str">
        <f t="array" ref="F30">IF(X30="","",INDEX('Inventory - P10'!$E$16:$E$27,(INT((X30-1)/4)+1)))</f>
        <v/>
      </c>
      <c r="G30" s="19" t="str">
        <f t="array" ref="G30">IF(X30="","",INDEX('Inventory - P10'!$I$16:$I$27,(INT((X30-1)/4)+1)))</f>
        <v/>
      </c>
      <c r="H30" s="19" t="str">
        <f t="array" ref="H30">IF(X30="","",INDEX('Inventory - P10'!$J$16:$J$27,(INT((X30-1)/4)+1)))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19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P10'!$D$16:$D$27,(INT((X31-1)/4)+1)))</f>
        <v/>
      </c>
      <c r="F31" s="19" t="str">
        <f t="array" ref="F31">IF(X31="","",INDEX('Inventory - P10'!$E$16:$E$27,(INT((X31-1)/4)+1)))</f>
        <v/>
      </c>
      <c r="G31" s="19" t="str">
        <f t="array" ref="G31">IF(X31="","",INDEX('Inventory - P10'!$I$16:$I$27,(INT((X31-1)/4)+1)))</f>
        <v/>
      </c>
      <c r="H31" s="19" t="str">
        <f t="array" ref="H31">IF(X31="","",INDEX('Inventory - P10'!$J$16:$J$27,(INT((X31-1)/4)+1)))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19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P10'!$D$16:$D$27,(INT((X32-1)/4)+1)))</f>
        <v/>
      </c>
      <c r="F32" s="19" t="str">
        <f t="array" ref="F32">IF(X32="","",INDEX('Inventory - P10'!$E$16:$E$27,(INT((X32-1)/4)+1)))</f>
        <v/>
      </c>
      <c r="G32" s="19" t="str">
        <f t="array" ref="G32">IF(X32="","",INDEX('Inventory - P10'!$I$16:$I$27,(INT((X32-1)/4)+1)))</f>
        <v/>
      </c>
      <c r="H32" s="19" t="str">
        <f t="array" ref="H32">IF(X32="","",INDEX('Inventory - P10'!$J$16:$J$27,(INT((X32-1)/4)+1)))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19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P10'!$D$16:$D$27,(INT((X33-1)/4)+1)))</f>
        <v/>
      </c>
      <c r="F33" s="19" t="str">
        <f t="array" ref="F33">IF(X33="","",INDEX('Inventory - P10'!$E$16:$E$27,(INT((X33-1)/4)+1)))</f>
        <v/>
      </c>
      <c r="G33" s="19" t="str">
        <f t="array" ref="G33">IF(X33="","",INDEX('Inventory - P10'!$I$16:$I$27,(INT((X33-1)/4)+1)))</f>
        <v/>
      </c>
      <c r="H33" s="19" t="str">
        <f t="array" ref="H33">IF(X33="","",INDEX('Inventory - P10'!$J$16:$J$27,(INT((X33-1)/4)+1)))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19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P10'!$D$16:$D$27,(INT((X34-1)/4)+1)))</f>
        <v/>
      </c>
      <c r="F34" s="19" t="str">
        <f t="array" ref="F34">IF(X34="","",INDEX('Inventory - P10'!$E$16:$E$27,(INT((X34-1)/4)+1)))</f>
        <v/>
      </c>
      <c r="G34" s="19" t="str">
        <f t="array" ref="G34">IF(X34="","",INDEX('Inventory - P10'!$I$16:$I$27,(INT((X34-1)/4)+1)))</f>
        <v/>
      </c>
      <c r="H34" s="19" t="str">
        <f t="array" ref="H34">IF(X34="","",INDEX('Inventory - P10'!$J$16:$J$27,(INT((X34-1)/4)+1)))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19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P10'!$D$16:$D$27,(INT((X35-1)/4)+1)))</f>
        <v/>
      </c>
      <c r="F35" s="19" t="str">
        <f t="array" ref="F35">IF(X35="","",INDEX('Inventory - P10'!$E$16:$E$27,(INT((X35-1)/4)+1)))</f>
        <v/>
      </c>
      <c r="G35" s="19" t="str">
        <f t="array" ref="G35">IF(X35="","",INDEX('Inventory - P10'!$I$16:$I$27,(INT((X35-1)/4)+1)))</f>
        <v/>
      </c>
      <c r="H35" s="19" t="str">
        <f t="array" ref="H35">IF(X35="","",INDEX('Inventory - P10'!$J$16:$J$27,(INT((X35-1)/4)+1)))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19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P10'!$D$16:$D$27,(INT((X37-1)/4)+1)))</f>
        <v/>
      </c>
      <c r="F37" s="19" t="str">
        <f t="array" ref="F37">IF(X37="","",INDEX('Inventory - P10'!$E$16:$E$27,(INT((X37-1)/4)+1)))</f>
        <v/>
      </c>
      <c r="G37" s="19" t="str">
        <f t="array" ref="G37">IF(X37="","",INDEX('Inventory - P10'!$I$16:$I$27,(INT((X37-1)/4)+1)))</f>
        <v/>
      </c>
      <c r="H37" s="19" t="str">
        <f t="array" ref="H37">IF(X37="","",INDEX('Inventory - P10'!$J$16:$J$27,(INT((X37-1)/4)+1)))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19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P10'!$D$16:$D$27,(INT((X38-1)/4)+1)))</f>
        <v/>
      </c>
      <c r="F38" s="19" t="str">
        <f t="array" ref="F38">IF(X38="","",INDEX('Inventory - P10'!$E$16:$E$27,(INT((X38-1)/4)+1)))</f>
        <v/>
      </c>
      <c r="G38" s="19" t="str">
        <f t="array" ref="G38">IF(X38="","",INDEX('Inventory - P10'!$I$16:$I$27,(INT((X38-1)/4)+1)))</f>
        <v/>
      </c>
      <c r="H38" s="19" t="str">
        <f t="array" ref="H38">IF(X38="","",INDEX('Inventory - P10'!$J$16:$J$27,(INT((X38-1)/4)+1)))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19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P10'!$D$16:$D$27,(INT((X39-1)/4)+1)))</f>
        <v/>
      </c>
      <c r="F39" s="19" t="str">
        <f t="array" ref="F39">IF(X39="","",INDEX('Inventory - P10'!$E$16:$E$27,(INT((X39-1)/4)+1)))</f>
        <v/>
      </c>
      <c r="G39" s="19" t="str">
        <f t="array" ref="G39">IF(X39="","",INDEX('Inventory - P10'!$I$16:$I$27,(INT((X39-1)/4)+1)))</f>
        <v/>
      </c>
      <c r="H39" s="19" t="str">
        <f t="array" ref="H39">IF(X39="","",INDEX('Inventory - P10'!$J$16:$J$27,(INT((X39-1)/4)+1)))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19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P10'!$D$16:$D$27,(INT((X40-1)/4)+1)))</f>
        <v/>
      </c>
      <c r="F40" s="19" t="str">
        <f t="array" ref="F40">IF(X40="","",INDEX('Inventory - P10'!$E$16:$E$27,(INT((X40-1)/4)+1)))</f>
        <v/>
      </c>
      <c r="G40" s="19" t="str">
        <f t="array" ref="G40">IF(X40="","",INDEX('Inventory - P10'!$I$16:$I$27,(INT((X40-1)/4)+1)))</f>
        <v/>
      </c>
      <c r="H40" s="19" t="str">
        <f t="array" ref="H40">IF(X40="","",INDEX('Inventory - P10'!$J$16:$J$27,(INT((X40-1)/4)+1)))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19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P10'!$D$16:$D$27,(INT((X41-1)/4)+1)))</f>
        <v/>
      </c>
      <c r="F41" s="19" t="str">
        <f t="array" ref="F41">IF(X41="","",INDEX('Inventory - P10'!$E$16:$E$27,(INT((X41-1)/4)+1)))</f>
        <v/>
      </c>
      <c r="G41" s="19" t="str">
        <f t="array" ref="G41">IF(X41="","",INDEX('Inventory - P10'!$I$16:$I$27,(INT((X41-1)/4)+1)))</f>
        <v/>
      </c>
      <c r="H41" s="19" t="str">
        <f t="array" ref="H41">IF(X41="","",INDEX('Inventory - P10'!$J$16:$J$27,(INT((X41-1)/4)+1)))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19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P10'!$D$16:$D$27,(INT((X42-1)/4)+1)))</f>
        <v/>
      </c>
      <c r="F42" s="19" t="str">
        <f t="array" ref="F42">IF(X42="","",INDEX('Inventory - P10'!$E$16:$E$27,(INT((X42-1)/4)+1)))</f>
        <v/>
      </c>
      <c r="G42" s="19" t="str">
        <f t="array" ref="G42">IF(X42="","",INDEX('Inventory - P10'!$I$16:$I$27,(INT((X42-1)/4)+1)))</f>
        <v/>
      </c>
      <c r="H42" s="19" t="str">
        <f t="array" ref="H42">IF(X42="","",INDEX('Inventory - P10'!$J$16:$J$27,(INT((X42-1)/4)+1)))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19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P10'!$D$16:$D$27,(INT((X43-1)/4)+1)))</f>
        <v/>
      </c>
      <c r="F43" s="19" t="str">
        <f t="array" ref="F43">IF(X43="","",INDEX('Inventory - P10'!$E$16:$E$27,(INT((X43-1)/4)+1)))</f>
        <v/>
      </c>
      <c r="G43" s="19" t="str">
        <f t="array" ref="G43">IF(X43="","",INDEX('Inventory - P10'!$I$16:$I$27,(INT((X43-1)/4)+1)))</f>
        <v/>
      </c>
      <c r="H43" s="19" t="str">
        <f t="array" ref="H43">IF(X43="","",INDEX('Inventory - P10'!$J$16:$J$27,(INT((X43-1)/4)+1)))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19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P10'!$D$16:$D$27,(INT((X44-1)/4)+1)))</f>
        <v/>
      </c>
      <c r="F44" s="19" t="str">
        <f t="array" ref="F44">IF(X44="","",INDEX('Inventory - P10'!$E$16:$E$27,(INT((X44-1)/4)+1)))</f>
        <v/>
      </c>
      <c r="G44" s="19" t="str">
        <f t="array" ref="G44">IF(X44="","",INDEX('Inventory - P10'!$I$16:$I$27,(INT((X44-1)/4)+1)))</f>
        <v/>
      </c>
      <c r="H44" s="19" t="str">
        <f t="array" ref="H44">IF(X44="","",INDEX('Inventory - P10'!$J$16:$J$27,(INT((X44-1)/4)+1)))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19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P10'!$D$16:$D$27,(INT((X45-1)/4)+1)))</f>
        <v/>
      </c>
      <c r="F45" s="19" t="str">
        <f t="array" ref="F45">IF(X45="","",INDEX('Inventory - P10'!$E$16:$E$27,(INT((X45-1)/4)+1)))</f>
        <v/>
      </c>
      <c r="G45" s="19" t="str">
        <f t="array" ref="G45">IF(X45="","",INDEX('Inventory - P10'!$I$16:$I$27,(INT((X45-1)/4)+1)))</f>
        <v/>
      </c>
      <c r="H45" s="19" t="str">
        <f t="array" ref="H45">IF(X45="","",INDEX('Inventory - P10'!$J$16:$J$27,(INT((X45-1)/4)+1)))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19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P10'!$D$16:$D$27,(INT((X46-1)/4)+1)))</f>
        <v/>
      </c>
      <c r="F46" s="19" t="str">
        <f t="array" ref="F46">IF(X46="","",INDEX('Inventory - P10'!$E$16:$E$27,(INT((X46-1)/4)+1)))</f>
        <v/>
      </c>
      <c r="G46" s="19" t="str">
        <f t="array" ref="G46">IF(X46="","",INDEX('Inventory - P10'!$I$16:$I$27,(INT((X46-1)/4)+1)))</f>
        <v/>
      </c>
      <c r="H46" s="19" t="str">
        <f t="array" ref="H46">IF(X46="","",INDEX('Inventory - P10'!$J$16:$J$27,(INT((X46-1)/4)+1)))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19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P10'!$D$16:$D$27,(INT((X47-1)/4)+1)))</f>
        <v/>
      </c>
      <c r="F47" s="19" t="str">
        <f t="array" ref="F47">IF(X47="","",INDEX('Inventory - P10'!$E$16:$E$27,(INT((X47-1)/4)+1)))</f>
        <v/>
      </c>
      <c r="G47" s="19" t="str">
        <f t="array" ref="G47">IF(X47="","",INDEX('Inventory - P10'!$I$16:$I$27,(INT((X47-1)/4)+1)))</f>
        <v/>
      </c>
      <c r="H47" s="19" t="str">
        <f t="array" ref="H47">IF(X47="","",INDEX('Inventory - P10'!$J$16:$J$27,(INT((X47-1)/4)+1)))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19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P10'!$D$16:$D$27,(INT((X48-1)/4)+1)))</f>
        <v/>
      </c>
      <c r="F48" s="19" t="str">
        <f t="array" ref="F48">IF(X48="","",INDEX('Inventory - P10'!$E$16:$E$27,(INT((X48-1)/4)+1)))</f>
        <v/>
      </c>
      <c r="G48" s="19" t="str">
        <f t="array" ref="G48">IF(X48="","",INDEX('Inventory - P10'!$I$16:$I$27,(INT((X48-1)/4)+1)))</f>
        <v/>
      </c>
      <c r="H48" s="19" t="str">
        <f t="array" ref="H48">IF(X48="","",INDEX('Inventory - P10'!$J$16:$J$27,(INT((X48-1)/4)+1)))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19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P10'!$D$16:$D$27,(INT((X50-1)/4)+1)))</f>
        <v/>
      </c>
      <c r="F50" s="19" t="str">
        <f t="array" ref="F50">IF(X50="","",INDEX('Inventory - P10'!$E$16:$E$27,(INT((X50-1)/4)+1)))</f>
        <v/>
      </c>
      <c r="G50" s="19" t="str">
        <f t="array" ref="G50">IF(X50="","",INDEX('Inventory - P10'!$I$16:$I$27,(INT((X50-1)/4)+1)))</f>
        <v/>
      </c>
      <c r="H50" s="19" t="str">
        <f t="array" ref="H50">IF(X50="","",INDEX('Inventory - P10'!$J$16:$J$27,(INT((X50-1)/4)+1)))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19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P10'!$D$16:$D$27,(INT((X51-1)/4)+1)))</f>
        <v/>
      </c>
      <c r="F51" s="19" t="str">
        <f t="array" ref="F51">IF(X51="","",INDEX('Inventory - P10'!$E$16:$E$27,(INT((X51-1)/4)+1)))</f>
        <v/>
      </c>
      <c r="G51" s="19" t="str">
        <f t="array" ref="G51">IF(X51="","",INDEX('Inventory - P10'!$I$16:$I$27,(INT((X51-1)/4)+1)))</f>
        <v/>
      </c>
      <c r="H51" s="19" t="str">
        <f t="array" ref="H51">IF(X51="","",INDEX('Inventory - P10'!$J$16:$J$27,(INT((X51-1)/4)+1)))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19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P10'!$D$16:$D$27,(INT((X52-1)/4)+1)))</f>
        <v/>
      </c>
      <c r="F52" s="19" t="str">
        <f t="array" ref="F52">IF(X52="","",INDEX('Inventory - P10'!$E$16:$E$27,(INT((X52-1)/4)+1)))</f>
        <v/>
      </c>
      <c r="G52" s="19" t="str">
        <f t="array" ref="G52">IF(X52="","",INDEX('Inventory - P10'!$I$16:$I$27,(INT((X52-1)/4)+1)))</f>
        <v/>
      </c>
      <c r="H52" s="19" t="str">
        <f t="array" ref="H52">IF(X52="","",INDEX('Inventory - P10'!$J$16:$J$27,(INT((X52-1)/4)+1)))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19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P10'!$D$16:$D$27,(INT((X53-1)/4)+1)))</f>
        <v/>
      </c>
      <c r="F53" s="19" t="str">
        <f t="array" ref="F53">IF(X53="","",INDEX('Inventory - P10'!$E$16:$E$27,(INT((X53-1)/4)+1)))</f>
        <v/>
      </c>
      <c r="G53" s="19" t="str">
        <f t="array" ref="G53">IF(X53="","",INDEX('Inventory - P10'!$I$16:$I$27,(INT((X53-1)/4)+1)))</f>
        <v/>
      </c>
      <c r="H53" s="19" t="str">
        <f t="array" ref="H53">IF(X53="","",INDEX('Inventory - P10'!$J$16:$J$27,(INT((X53-1)/4)+1)))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19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P10'!$D$16:$D$27,(INT((X54-1)/4)+1)))</f>
        <v/>
      </c>
      <c r="F54" s="19" t="str">
        <f t="array" ref="F54">IF(X54="","",INDEX('Inventory - P10'!$E$16:$E$27,(INT((X54-1)/4)+1)))</f>
        <v/>
      </c>
      <c r="G54" s="19" t="str">
        <f t="array" ref="G54">IF(X54="","",INDEX('Inventory - P10'!$I$16:$I$27,(INT((X54-1)/4)+1)))</f>
        <v/>
      </c>
      <c r="H54" s="19" t="str">
        <f t="array" ref="H54">IF(X54="","",INDEX('Inventory - P10'!$J$16:$J$27,(INT((X54-1)/4)+1)))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19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P10'!$D$16:$D$27,(INT((X55-1)/4)+1)))</f>
        <v/>
      </c>
      <c r="F55" s="19" t="str">
        <f t="array" ref="F55">IF(X55="","",INDEX('Inventory - P10'!$E$16:$E$27,(INT((X55-1)/4)+1)))</f>
        <v/>
      </c>
      <c r="G55" s="19" t="str">
        <f t="array" ref="G55">IF(X55="","",INDEX('Inventory - P10'!$I$16:$I$27,(INT((X55-1)/4)+1)))</f>
        <v/>
      </c>
      <c r="H55" s="19" t="str">
        <f t="array" ref="H55">IF(X55="","",INDEX('Inventory - P10'!$J$16:$J$27,(INT((X55-1)/4)+1)))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19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P10'!$D$16:$D$27,(INT((X56-1)/4)+1)))</f>
        <v/>
      </c>
      <c r="F56" s="19" t="str">
        <f t="array" ref="F56">IF(X56="","",INDEX('Inventory - P10'!$E$16:$E$27,(INT((X56-1)/4)+1)))</f>
        <v/>
      </c>
      <c r="G56" s="19" t="str">
        <f t="array" ref="G56">IF(X56="","",INDEX('Inventory - P10'!$I$16:$I$27,(INT((X56-1)/4)+1)))</f>
        <v/>
      </c>
      <c r="H56" s="19" t="str">
        <f t="array" ref="H56">IF(X56="","",INDEX('Inventory - P10'!$J$16:$J$27,(INT((X56-1)/4)+1)))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19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P10'!$D$16:$D$27,(INT((X57-1)/4)+1)))</f>
        <v/>
      </c>
      <c r="F57" s="19" t="str">
        <f t="array" ref="F57">IF(X57="","",INDEX('Inventory - P10'!$E$16:$E$27,(INT((X57-1)/4)+1)))</f>
        <v/>
      </c>
      <c r="G57" s="19" t="str">
        <f t="array" ref="G57">IF(X57="","",INDEX('Inventory - P10'!$I$16:$I$27,(INT((X57-1)/4)+1)))</f>
        <v/>
      </c>
      <c r="H57" s="19" t="str">
        <f t="array" ref="H57">IF(X57="","",INDEX('Inventory - P10'!$J$16:$J$27,(INT((X57-1)/4)+1)))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19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P10'!$D$16:$D$27,(INT((X58-1)/4)+1)))</f>
        <v/>
      </c>
      <c r="F58" s="19" t="str">
        <f t="array" ref="F58">IF(X58="","",INDEX('Inventory - P10'!$E$16:$E$27,(INT((X58-1)/4)+1)))</f>
        <v/>
      </c>
      <c r="G58" s="19" t="str">
        <f t="array" ref="G58">IF(X58="","",INDEX('Inventory - P10'!$I$16:$I$27,(INT((X58-1)/4)+1)))</f>
        <v/>
      </c>
      <c r="H58" s="19" t="str">
        <f t="array" ref="H58">IF(X58="","",INDEX('Inventory - P10'!$J$16:$J$27,(INT((X58-1)/4)+1)))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19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P10'!$D$16:$D$27,(INT((X59-1)/4)+1)))</f>
        <v/>
      </c>
      <c r="F59" s="19" t="str">
        <f t="array" ref="F59">IF(X59="","",INDEX('Inventory - P10'!$E$16:$E$27,(INT((X59-1)/4)+1)))</f>
        <v/>
      </c>
      <c r="G59" s="19" t="str">
        <f t="array" ref="G59">IF(X59="","",INDEX('Inventory - P10'!$I$16:$I$27,(INT((X59-1)/4)+1)))</f>
        <v/>
      </c>
      <c r="H59" s="19" t="str">
        <f t="array" ref="H59">IF(X59="","",INDEX('Inventory - P10'!$J$16:$J$27,(INT((X59-1)/4)+1)))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19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P10'!$D$16:$D$27,(INT((X60-1)/4)+1)))</f>
        <v/>
      </c>
      <c r="F60" s="19" t="str">
        <f t="array" ref="F60">IF(X60="","",INDEX('Inventory - P10'!$E$16:$E$27,(INT((X60-1)/4)+1)))</f>
        <v/>
      </c>
      <c r="G60" s="19" t="str">
        <f t="array" ref="G60">IF(X60="","",INDEX('Inventory - P10'!$I$16:$I$27,(INT((X60-1)/4)+1)))</f>
        <v/>
      </c>
      <c r="H60" s="19" t="str">
        <f t="array" ref="H60">IF(X60="","",INDEX('Inventory - P10'!$J$16:$J$27,(INT((X60-1)/4)+1)))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19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P10'!$D$16:$D$27,(INT((X61-1)/4)+1)))</f>
        <v/>
      </c>
      <c r="F61" s="19" t="str">
        <f t="array" ref="F61">IF(X61="","",INDEX('Inventory - P10'!$E$16:$E$27,(INT((X61-1)/4)+1)))</f>
        <v/>
      </c>
      <c r="G61" s="19" t="str">
        <f t="array" ref="G61">IF(X61="","",INDEX('Inventory - P10'!$I$16:$I$27,(INT((X61-1)/4)+1)))</f>
        <v/>
      </c>
      <c r="H61" s="19" t="str">
        <f t="array" ref="H61">IF(X61="","",INDEX('Inventory - P10'!$J$16:$J$27,(INT((X61-1)/4)+1)))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P10'!E16&lt;1,'Inventory - P10'!F16="",'Inventory - P10'!G16=""),9,MOD('Inventory - P10'!F16+0*'Inventory - P10'!G16/24,1))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P10'!E16&lt;2,'Inventory - P10'!F16="",'Inventory - P10'!G16=""),9,MOD('Inventory - P10'!F16+1*'Inventory - P10'!G16/24,1))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P10'!E16&lt;3,'Inventory - P10'!F16="",'Inventory - P10'!G16=""),9,MOD('Inventory - P10'!F16+2*'Inventory - P10'!G16/24,1))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P10'!E16&lt;4,'Inventory - P10'!F16="",'Inventory - P10'!G16=""),9,MOD('Inventory - P10'!F16+3*'Inventory - P10'!G16/24,1))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P10'!E17&lt;1,'Inventory - P10'!F17="",'Inventory - P10'!G17=""),9,MOD('Inventory - P10'!F17+0*'Inventory - P10'!G17/24,1))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P10'!E17&lt;2,'Inventory - P10'!F17="",'Inventory - P10'!G17=""),9,MOD('Inventory - P10'!F17+1*'Inventory - P10'!G17/24,1))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P10'!E17&lt;3,'Inventory - P10'!F17="",'Inventory - P10'!G17=""),9,MOD('Inventory - P10'!F17+2*'Inventory - P10'!G17/24,1))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P10'!E17&lt;4,'Inventory - P10'!F17="",'Inventory - P10'!G17=""),9,MOD('Inventory - P10'!F17+3*'Inventory - P10'!G17/24,1))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P10'!E18&lt;1,'Inventory - P10'!F18="",'Inventory - P10'!G18=""),9,MOD('Inventory - P10'!F18+0*'Inventory - P10'!G18/24,1))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P10'!E18&lt;2,'Inventory - P10'!F18="",'Inventory - P10'!G18=""),9,MOD('Inventory - P10'!F18+1*'Inventory - P10'!G18/24,1))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P10'!E18&lt;3,'Inventory - P10'!F18="",'Inventory - P10'!G18=""),9,MOD('Inventory - P10'!F18+2*'Inventory - P10'!G18/24,1))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P10'!E18&lt;4,'Inventory - P10'!F18="",'Inventory - P10'!G18=""),9,MOD('Inventory - P10'!F18+3*'Inventory - P10'!G18/24,1))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P10'!E19&lt;1,'Inventory - P10'!F19="",'Inventory - P10'!G19=""),9,MOD('Inventory - P10'!F19+0*'Inventory - P10'!G19/24,1))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P10'!E19&lt;2,'Inventory - P10'!F19="",'Inventory - P10'!G19=""),9,MOD('Inventory - P10'!F19+1*'Inventory - P10'!G19/24,1))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P10'!E19&lt;3,'Inventory - P10'!F19="",'Inventory - P10'!G19=""),9,MOD('Inventory - P10'!F19+2*'Inventory - P10'!G19/24,1))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P10'!E19&lt;4,'Inventory - P10'!F19="",'Inventory - P10'!G19=""),9,MOD('Inventory - P10'!F19+3*'Inventory - P10'!G19/24,1))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P10'!E20&lt;1,'Inventory - P10'!F20="",'Inventory - P10'!G20=""),9,MOD('Inventory - P10'!F20+0*'Inventory - P10'!G20/24,1))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P10'!E20&lt;2,'Inventory - P10'!F20="",'Inventory - P10'!G20=""),9,MOD('Inventory - P10'!F20+1*'Inventory - P10'!G20/24,1))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P10'!E20&lt;3,'Inventory - P10'!F20="",'Inventory - P10'!G20=""),9,MOD('Inventory - P10'!F20+2*'Inventory - P10'!G20/24,1))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P10'!E20&lt;4,'Inventory - P10'!F20="",'Inventory - P10'!G20=""),9,MOD('Inventory - P10'!F20+3*'Inventory - P10'!G20/24,1))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P10'!E21&lt;1,'Inventory - P10'!F21="",'Inventory - P10'!G21=""),9,MOD('Inventory - P10'!F21+0*'Inventory - P10'!G21/24,1))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P10'!E21&lt;2,'Inventory - P10'!F21="",'Inventory - P10'!G21=""),9,MOD('Inventory - P10'!F21+1*'Inventory - P10'!G21/24,1))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P10'!E21&lt;3,'Inventory - P10'!F21="",'Inventory - P10'!G21=""),9,MOD('Inventory - P10'!F21+2*'Inventory - P10'!G21/24,1))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P10'!E21&lt;4,'Inventory - P10'!F21="",'Inventory - P10'!G21=""),9,MOD('Inventory - P10'!F21+3*'Inventory - P10'!G21/24,1))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P10'!E22&lt;1,'Inventory - P10'!F22="",'Inventory - P10'!G22=""),9,MOD('Inventory - P10'!F22+0*'Inventory - P10'!G22/24,1))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P10'!E22&lt;2,'Inventory - P10'!F22="",'Inventory - P10'!G22=""),9,MOD('Inventory - P10'!F22+1*'Inventory - P10'!G22/24,1))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P10'!E22&lt;3,'Inventory - P10'!F22="",'Inventory - P10'!G22=""),9,MOD('Inventory - P10'!F22+2*'Inventory - P10'!G22/24,1))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P10'!E22&lt;4,'Inventory - P10'!F22="",'Inventory - P10'!G22=""),9,MOD('Inventory - P10'!F22+3*'Inventory - P10'!G22/24,1))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P10'!E23&lt;1,'Inventory - P10'!F23="",'Inventory - P10'!G23=""),9,MOD('Inventory - P10'!F23+0*'Inventory - P10'!G23/24,1))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P10'!E23&lt;2,'Inventory - P10'!F23="",'Inventory - P10'!G23=""),9,MOD('Inventory - P10'!F23+1*'Inventory - P10'!G23/24,1))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P10'!E23&lt;3,'Inventory - P10'!F23="",'Inventory - P10'!G23=""),9,MOD('Inventory - P10'!F23+2*'Inventory - P10'!G23/24,1))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P10'!E23&lt;4,'Inventory - P10'!F23="",'Inventory - P10'!G23=""),9,MOD('Inventory - P10'!F23+3*'Inventory - P10'!G23/24,1))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P10'!E24&lt;1,'Inventory - P10'!F24="",'Inventory - P10'!G24=""),9,MOD('Inventory - P10'!F24+0*'Inventory - P10'!G24/24,1))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P10'!E24&lt;2,'Inventory - P10'!F24="",'Inventory - P10'!G24=""),9,MOD('Inventory - P10'!F24+1*'Inventory - P10'!G24/24,1))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P10'!E24&lt;3,'Inventory - P10'!F24="",'Inventory - P10'!G24=""),9,MOD('Inventory - P10'!F24+2*'Inventory - P10'!G24/24,1))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P10'!E24&lt;4,'Inventory - P10'!F24="",'Inventory - P10'!G24=""),9,MOD('Inventory - P10'!F24+3*'Inventory - P10'!G24/24,1))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P10'!E25&lt;1,'Inventory - P10'!F25="",'Inventory - P10'!G25=""),9,MOD('Inventory - P10'!F25+0*'Inventory - P10'!G25/24,1))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P10'!E25&lt;2,'Inventory - P10'!F25="",'Inventory - P10'!G25=""),9,MOD('Inventory - P10'!F25+1*'Inventory - P10'!G25/24,1))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P10'!E25&lt;3,'Inventory - P10'!F25="",'Inventory - P10'!G25=""),9,MOD('Inventory - P10'!F25+2*'Inventory - P10'!G25/24,1))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P10'!E25&lt;4,'Inventory - P10'!F25="",'Inventory - P10'!G25=""),9,MOD('Inventory - P10'!F25+3*'Inventory - P10'!G25/24,1))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P10'!E26&lt;1,'Inventory - P10'!F26="",'Inventory - P10'!G26=""),9,MOD('Inventory - P10'!F26+0*'Inventory - P10'!G26/24,1))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P10'!E26&lt;2,'Inventory - P10'!F26="",'Inventory - P10'!G26=""),9,MOD('Inventory - P10'!F26+1*'Inventory - P10'!G26/24,1))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P10'!E26&lt;3,'Inventory - P10'!F26="",'Inventory - P10'!G26=""),9,MOD('Inventory - P10'!F26+2*'Inventory - P10'!G26/24,1))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P10'!E26&lt;4,'Inventory - P10'!F26="",'Inventory - P10'!G26=""),9,MOD('Inventory - P10'!F26+3*'Inventory - P10'!G26/24,1))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P10'!E27&lt;1,'Inventory - P10'!F27="",'Inventory - P10'!G27=""),9,MOD('Inventory - P10'!F27+0*'Inventory - P10'!G27/24,1))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P10'!E27&lt;2,'Inventory - P10'!F27="",'Inventory - P10'!G27=""),9,MOD('Inventory - P10'!F27+1*'Inventory - P10'!G27/24,1))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P10'!E27&lt;3,'Inventory - P10'!F27="",'Inventory - P10'!G27=""),9,MOD('Inventory - P10'!F27+2*'Inventory - P10'!G27/24,1))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P10'!E27&lt;4,'Inventory - P10'!F27="",'Inventory - P10'!G27=""),9,MOD('Inventory - P10'!F27+3*'Inventory - P10'!G27/24,1))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Tracker'!S15="","","INV-"&amp;SUBSTITUTE('Client Needs Tracker'!S15," ",""))</f>
        <v>INV-F-2A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Tracker'!B15="","(Add client on Client Needs Tracker, row 15)",'Client Needs Tracker'!B15)</f>
        <v>(Add client on Client Needs Tracker, row 15)</v>
      </c>
      <c r="B6" s="104"/>
      <c r="C6" s="104"/>
      <c r="D6" s="104"/>
      <c r="E6" s="104"/>
      <c r="F6" s="105" t="str">
        <f>'Client Needs Tracker'!A15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Tracker'!C15="","",'Client Needs Tracker'!C15)</f>
        <v/>
      </c>
      <c r="B8" s="104"/>
      <c r="C8" s="104"/>
      <c r="D8" s="104"/>
      <c r="E8" s="104"/>
      <c r="F8" s="108" t="str">
        <f>'Client Needs Tracker'!E15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Tracker'!F15="","",'Client Needs Tracker'!F15)</f>
        <v/>
      </c>
      <c r="B10" s="104"/>
      <c r="C10" s="104"/>
      <c r="D10" s="104"/>
      <c r="E10" s="104"/>
      <c r="F10" s="110" t="str">
        <f>IF('Client Status Board'!G15="","",'Client Status Board'!G15)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Board'!L15="","",'Client Status Board'!L15)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/>
      </c>
    </row>
    <row r="3" ht="15.0" customHeight="1">
      <c r="A3" s="130" t="str">
        <f>IF('Inventory - P11'!A6="","(Enter name in Inventory - P11)",'Inventory - P11'!A6)</f>
        <v>(Add client on Client Needs Tracker, row 15)</v>
      </c>
      <c r="B3" s="131"/>
      <c r="C3" s="131"/>
      <c r="D3" s="131"/>
      <c r="E3" s="131"/>
      <c r="F3" s="132" t="str">
        <f>IF('Inventory - P11'!F6="","(Enter ID in Inventory - P11)","Member ID: "&amp;'Inventory - P11'!F6)</f>
        <v>(Enter ID in Inventory - P11)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Tracker'!S15="","","INV-"&amp;SUBSTITUTE('Client Needs Tracker'!S15," ",""))</f>
        <v>INV-F-2A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P11'!F8="","-",'Inventory - P11'!F8)</f>
        <v>LOC: -</v>
      </c>
      <c r="C5" s="3"/>
      <c r="D5" s="134" t="str">
        <f>"Case Manager: "&amp;IF('Inventory - P11'!A10="","-",'Inventory - P11'!A10)</f>
        <v>Case Manager: -</v>
      </c>
      <c r="F5" s="3"/>
      <c r="G5" s="134" t="str">
        <f>"Doctor: "&amp;IF('Inventory - P11'!F10="","-",'Inventory - P11'!F10)</f>
        <v>Doctor: -</v>
      </c>
      <c r="I5" s="3"/>
      <c r="J5" s="134" t="str">
        <f>"Pharmacy: "&amp;IF('Inventory - P11'!A12="","-",'Inventory - P11'!A12)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P11'!A14="","",'Inventory - P11'!A14)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P11'!A14="","",'Inventory - P11'!A14+0)</f>
        <v/>
      </c>
      <c r="J8" s="139"/>
      <c r="K8" s="138" t="str">
        <f>IF('Inventory - P11'!A14="","",'Inventory - P11'!A14+1)</f>
        <v/>
      </c>
      <c r="L8" s="139"/>
      <c r="M8" s="138" t="str">
        <f>IF('Inventory - P11'!A14="","",'Inventory - P11'!A14+2)</f>
        <v/>
      </c>
      <c r="N8" s="139"/>
      <c r="O8" s="138" t="str">
        <f>IF('Inventory - P11'!A14="","",'Inventory - P11'!A14+3)</f>
        <v/>
      </c>
      <c r="P8" s="139"/>
      <c r="Q8" s="138" t="str">
        <f>IF('Inventory - P11'!A14="","",'Inventory - P11'!A14+4)</f>
        <v/>
      </c>
      <c r="R8" s="139"/>
      <c r="S8" s="138" t="str">
        <f>IF('Inventory - P11'!A14="","",'Inventory - P11'!A14+5)</f>
        <v/>
      </c>
      <c r="T8" s="139"/>
      <c r="U8" s="138" t="str">
        <f>IF('Inventory - P11'!A14="","",'Inventory - P11'!A14+6)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19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P11'!$D$16:$D$27,(INT((X11-1)/4)+1)))</f>
        <v/>
      </c>
      <c r="F11" s="19" t="str">
        <f t="array" ref="F11">IF(X11="","",INDEX('Inventory - P11'!$E$16:$E$27,(INT((X11-1)/4)+1)))</f>
        <v/>
      </c>
      <c r="G11" s="19" t="str">
        <f t="array" ref="G11">IF(X11="","",INDEX('Inventory - P11'!$I$16:$I$27,(INT((X11-1)/4)+1)))</f>
        <v/>
      </c>
      <c r="H11" s="19" t="str">
        <f t="array" ref="H11">IF(X11="","",INDEX('Inventory - P11'!$J$16:$J$27,(INT((X11-1)/4)+1)))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19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P11'!$D$16:$D$27,(INT((X12-1)/4)+1)))</f>
        <v/>
      </c>
      <c r="F12" s="19" t="str">
        <f t="array" ref="F12">IF(X12="","",INDEX('Inventory - P11'!$E$16:$E$27,(INT((X12-1)/4)+1)))</f>
        <v/>
      </c>
      <c r="G12" s="19" t="str">
        <f t="array" ref="G12">IF(X12="","",INDEX('Inventory - P11'!$I$16:$I$27,(INT((X12-1)/4)+1)))</f>
        <v/>
      </c>
      <c r="H12" s="19" t="str">
        <f t="array" ref="H12">IF(X12="","",INDEX('Inventory - P11'!$J$16:$J$27,(INT((X12-1)/4)+1)))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19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P11'!$D$16:$D$27,(INT((X13-1)/4)+1)))</f>
        <v/>
      </c>
      <c r="F13" s="19" t="str">
        <f t="array" ref="F13">IF(X13="","",INDEX('Inventory - P11'!$E$16:$E$27,(INT((X13-1)/4)+1)))</f>
        <v/>
      </c>
      <c r="G13" s="19" t="str">
        <f t="array" ref="G13">IF(X13="","",INDEX('Inventory - P11'!$I$16:$I$27,(INT((X13-1)/4)+1)))</f>
        <v/>
      </c>
      <c r="H13" s="19" t="str">
        <f t="array" ref="H13">IF(X13="","",INDEX('Inventory - P11'!$J$16:$J$27,(INT((X13-1)/4)+1)))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19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P11'!$D$16:$D$27,(INT((X14-1)/4)+1)))</f>
        <v/>
      </c>
      <c r="F14" s="19" t="str">
        <f t="array" ref="F14">IF(X14="","",INDEX('Inventory - P11'!$E$16:$E$27,(INT((X14-1)/4)+1)))</f>
        <v/>
      </c>
      <c r="G14" s="19" t="str">
        <f t="array" ref="G14">IF(X14="","",INDEX('Inventory - P11'!$I$16:$I$27,(INT((X14-1)/4)+1)))</f>
        <v/>
      </c>
      <c r="H14" s="19" t="str">
        <f t="array" ref="H14">IF(X14="","",INDEX('Inventory - P11'!$J$16:$J$27,(INT((X14-1)/4)+1)))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19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P11'!$D$16:$D$27,(INT((X15-1)/4)+1)))</f>
        <v/>
      </c>
      <c r="F15" s="19" t="str">
        <f t="array" ref="F15">IF(X15="","",INDEX('Inventory - P11'!$E$16:$E$27,(INT((X15-1)/4)+1)))</f>
        <v/>
      </c>
      <c r="G15" s="19" t="str">
        <f t="array" ref="G15">IF(X15="","",INDEX('Inventory - P11'!$I$16:$I$27,(INT((X15-1)/4)+1)))</f>
        <v/>
      </c>
      <c r="H15" s="19" t="str">
        <f t="array" ref="H15">IF(X15="","",INDEX('Inventory - P11'!$J$16:$J$27,(INT((X15-1)/4)+1)))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19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P11'!$D$16:$D$27,(INT((X16-1)/4)+1)))</f>
        <v/>
      </c>
      <c r="F16" s="19" t="str">
        <f t="array" ref="F16">IF(X16="","",INDEX('Inventory - P11'!$E$16:$E$27,(INT((X16-1)/4)+1)))</f>
        <v/>
      </c>
      <c r="G16" s="19" t="str">
        <f t="array" ref="G16">IF(X16="","",INDEX('Inventory - P11'!$I$16:$I$27,(INT((X16-1)/4)+1)))</f>
        <v/>
      </c>
      <c r="H16" s="19" t="str">
        <f t="array" ref="H16">IF(X16="","",INDEX('Inventory - P11'!$J$16:$J$27,(INT((X16-1)/4)+1)))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19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P11'!$D$16:$D$27,(INT((X17-1)/4)+1)))</f>
        <v/>
      </c>
      <c r="F17" s="19" t="str">
        <f t="array" ref="F17">IF(X17="","",INDEX('Inventory - P11'!$E$16:$E$27,(INT((X17-1)/4)+1)))</f>
        <v/>
      </c>
      <c r="G17" s="19" t="str">
        <f t="array" ref="G17">IF(X17="","",INDEX('Inventory - P11'!$I$16:$I$27,(INT((X17-1)/4)+1)))</f>
        <v/>
      </c>
      <c r="H17" s="19" t="str">
        <f t="array" ref="H17">IF(X17="","",INDEX('Inventory - P11'!$J$16:$J$27,(INT((X17-1)/4)+1)))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19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P11'!$D$16:$D$27,(INT((X18-1)/4)+1)))</f>
        <v/>
      </c>
      <c r="F18" s="19" t="str">
        <f t="array" ref="F18">IF(X18="","",INDEX('Inventory - P11'!$E$16:$E$27,(INT((X18-1)/4)+1)))</f>
        <v/>
      </c>
      <c r="G18" s="19" t="str">
        <f t="array" ref="G18">IF(X18="","",INDEX('Inventory - P11'!$I$16:$I$27,(INT((X18-1)/4)+1)))</f>
        <v/>
      </c>
      <c r="H18" s="19" t="str">
        <f t="array" ref="H18">IF(X18="","",INDEX('Inventory - P11'!$J$16:$J$27,(INT((X18-1)/4)+1)))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19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P11'!$D$16:$D$27,(INT((X19-1)/4)+1)))</f>
        <v/>
      </c>
      <c r="F19" s="19" t="str">
        <f t="array" ref="F19">IF(X19="","",INDEX('Inventory - P11'!$E$16:$E$27,(INT((X19-1)/4)+1)))</f>
        <v/>
      </c>
      <c r="G19" s="19" t="str">
        <f t="array" ref="G19">IF(X19="","",INDEX('Inventory - P11'!$I$16:$I$27,(INT((X19-1)/4)+1)))</f>
        <v/>
      </c>
      <c r="H19" s="19" t="str">
        <f t="array" ref="H19">IF(X19="","",INDEX('Inventory - P11'!$J$16:$J$27,(INT((X19-1)/4)+1)))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19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P11'!$D$16:$D$27,(INT((X20-1)/4)+1)))</f>
        <v/>
      </c>
      <c r="F20" s="19" t="str">
        <f t="array" ref="F20">IF(X20="","",INDEX('Inventory - P11'!$E$16:$E$27,(INT((X20-1)/4)+1)))</f>
        <v/>
      </c>
      <c r="G20" s="19" t="str">
        <f t="array" ref="G20">IF(X20="","",INDEX('Inventory - P11'!$I$16:$I$27,(INT((X20-1)/4)+1)))</f>
        <v/>
      </c>
      <c r="H20" s="19" t="str">
        <f t="array" ref="H20">IF(X20="","",INDEX('Inventory - P11'!$J$16:$J$27,(INT((X20-1)/4)+1)))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19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P11'!$D$16:$D$27,(INT((X21-1)/4)+1)))</f>
        <v/>
      </c>
      <c r="F21" s="19" t="str">
        <f t="array" ref="F21">IF(X21="","",INDEX('Inventory - P11'!$E$16:$E$27,(INT((X21-1)/4)+1)))</f>
        <v/>
      </c>
      <c r="G21" s="19" t="str">
        <f t="array" ref="G21">IF(X21="","",INDEX('Inventory - P11'!$I$16:$I$27,(INT((X21-1)/4)+1)))</f>
        <v/>
      </c>
      <c r="H21" s="19" t="str">
        <f t="array" ref="H21">IF(X21="","",INDEX('Inventory - P11'!$J$16:$J$27,(INT((X21-1)/4)+1)))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19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P11'!$D$16:$D$27,(INT((X22-1)/4)+1)))</f>
        <v/>
      </c>
      <c r="F22" s="19" t="str">
        <f t="array" ref="F22">IF(X22="","",INDEX('Inventory - P11'!$E$16:$E$27,(INT((X22-1)/4)+1)))</f>
        <v/>
      </c>
      <c r="G22" s="19" t="str">
        <f t="array" ref="G22">IF(X22="","",INDEX('Inventory - P11'!$I$16:$I$27,(INT((X22-1)/4)+1)))</f>
        <v/>
      </c>
      <c r="H22" s="19" t="str">
        <f t="array" ref="H22">IF(X22="","",INDEX('Inventory - P11'!$J$16:$J$27,(INT((X22-1)/4)+1)))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19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P11'!$D$16:$D$27,(INT((X24-1)/4)+1)))</f>
        <v/>
      </c>
      <c r="F24" s="19" t="str">
        <f t="array" ref="F24">IF(X24="","",INDEX('Inventory - P11'!$E$16:$E$27,(INT((X24-1)/4)+1)))</f>
        <v/>
      </c>
      <c r="G24" s="19" t="str">
        <f t="array" ref="G24">IF(X24="","",INDEX('Inventory - P11'!$I$16:$I$27,(INT((X24-1)/4)+1)))</f>
        <v/>
      </c>
      <c r="H24" s="19" t="str">
        <f t="array" ref="H24">IF(X24="","",INDEX('Inventory - P11'!$J$16:$J$27,(INT((X24-1)/4)+1)))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19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P11'!$D$16:$D$27,(INT((X25-1)/4)+1)))</f>
        <v/>
      </c>
      <c r="F25" s="19" t="str">
        <f t="array" ref="F25">IF(X25="","",INDEX('Inventory - P11'!$E$16:$E$27,(INT((X25-1)/4)+1)))</f>
        <v/>
      </c>
      <c r="G25" s="19" t="str">
        <f t="array" ref="G25">IF(X25="","",INDEX('Inventory - P11'!$I$16:$I$27,(INT((X25-1)/4)+1)))</f>
        <v/>
      </c>
      <c r="H25" s="19" t="str">
        <f t="array" ref="H25">IF(X25="","",INDEX('Inventory - P11'!$J$16:$J$27,(INT((X25-1)/4)+1)))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19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P11'!$D$16:$D$27,(INT((X26-1)/4)+1)))</f>
        <v/>
      </c>
      <c r="F26" s="19" t="str">
        <f t="array" ref="F26">IF(X26="","",INDEX('Inventory - P11'!$E$16:$E$27,(INT((X26-1)/4)+1)))</f>
        <v/>
      </c>
      <c r="G26" s="19" t="str">
        <f t="array" ref="G26">IF(X26="","",INDEX('Inventory - P11'!$I$16:$I$27,(INT((X26-1)/4)+1)))</f>
        <v/>
      </c>
      <c r="H26" s="19" t="str">
        <f t="array" ref="H26">IF(X26="","",INDEX('Inventory - P11'!$J$16:$J$27,(INT((X26-1)/4)+1)))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19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P11'!$D$16:$D$27,(INT((X27-1)/4)+1)))</f>
        <v/>
      </c>
      <c r="F27" s="19" t="str">
        <f t="array" ref="F27">IF(X27="","",INDEX('Inventory - P11'!$E$16:$E$27,(INT((X27-1)/4)+1)))</f>
        <v/>
      </c>
      <c r="G27" s="19" t="str">
        <f t="array" ref="G27">IF(X27="","",INDEX('Inventory - P11'!$I$16:$I$27,(INT((X27-1)/4)+1)))</f>
        <v/>
      </c>
      <c r="H27" s="19" t="str">
        <f t="array" ref="H27">IF(X27="","",INDEX('Inventory - P11'!$J$16:$J$27,(INT((X27-1)/4)+1)))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19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P11'!$D$16:$D$27,(INT((X28-1)/4)+1)))</f>
        <v/>
      </c>
      <c r="F28" s="19" t="str">
        <f t="array" ref="F28">IF(X28="","",INDEX('Inventory - P11'!$E$16:$E$27,(INT((X28-1)/4)+1)))</f>
        <v/>
      </c>
      <c r="G28" s="19" t="str">
        <f t="array" ref="G28">IF(X28="","",INDEX('Inventory - P11'!$I$16:$I$27,(INT((X28-1)/4)+1)))</f>
        <v/>
      </c>
      <c r="H28" s="19" t="str">
        <f t="array" ref="H28">IF(X28="","",INDEX('Inventory - P11'!$J$16:$J$27,(INT((X28-1)/4)+1)))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19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P11'!$D$16:$D$27,(INT((X29-1)/4)+1)))</f>
        <v/>
      </c>
      <c r="F29" s="19" t="str">
        <f t="array" ref="F29">IF(X29="","",INDEX('Inventory - P11'!$E$16:$E$27,(INT((X29-1)/4)+1)))</f>
        <v/>
      </c>
      <c r="G29" s="19" t="str">
        <f t="array" ref="G29">IF(X29="","",INDEX('Inventory - P11'!$I$16:$I$27,(INT((X29-1)/4)+1)))</f>
        <v/>
      </c>
      <c r="H29" s="19" t="str">
        <f t="array" ref="H29">IF(X29="","",INDEX('Inventory - P11'!$J$16:$J$27,(INT((X29-1)/4)+1)))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19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P11'!$D$16:$D$27,(INT((X30-1)/4)+1)))</f>
        <v/>
      </c>
      <c r="F30" s="19" t="str">
        <f t="array" ref="F30">IF(X30="","",INDEX('Inventory - P11'!$E$16:$E$27,(INT((X30-1)/4)+1)))</f>
        <v/>
      </c>
      <c r="G30" s="19" t="str">
        <f t="array" ref="G30">IF(X30="","",INDEX('Inventory - P11'!$I$16:$I$27,(INT((X30-1)/4)+1)))</f>
        <v/>
      </c>
      <c r="H30" s="19" t="str">
        <f t="array" ref="H30">IF(X30="","",INDEX('Inventory - P11'!$J$16:$J$27,(INT((X30-1)/4)+1)))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19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P11'!$D$16:$D$27,(INT((X31-1)/4)+1)))</f>
        <v/>
      </c>
      <c r="F31" s="19" t="str">
        <f t="array" ref="F31">IF(X31="","",INDEX('Inventory - P11'!$E$16:$E$27,(INT((X31-1)/4)+1)))</f>
        <v/>
      </c>
      <c r="G31" s="19" t="str">
        <f t="array" ref="G31">IF(X31="","",INDEX('Inventory - P11'!$I$16:$I$27,(INT((X31-1)/4)+1)))</f>
        <v/>
      </c>
      <c r="H31" s="19" t="str">
        <f t="array" ref="H31">IF(X31="","",INDEX('Inventory - P11'!$J$16:$J$27,(INT((X31-1)/4)+1)))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19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P11'!$D$16:$D$27,(INT((X32-1)/4)+1)))</f>
        <v/>
      </c>
      <c r="F32" s="19" t="str">
        <f t="array" ref="F32">IF(X32="","",INDEX('Inventory - P11'!$E$16:$E$27,(INT((X32-1)/4)+1)))</f>
        <v/>
      </c>
      <c r="G32" s="19" t="str">
        <f t="array" ref="G32">IF(X32="","",INDEX('Inventory - P11'!$I$16:$I$27,(INT((X32-1)/4)+1)))</f>
        <v/>
      </c>
      <c r="H32" s="19" t="str">
        <f t="array" ref="H32">IF(X32="","",INDEX('Inventory - P11'!$J$16:$J$27,(INT((X32-1)/4)+1)))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19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P11'!$D$16:$D$27,(INT((X33-1)/4)+1)))</f>
        <v/>
      </c>
      <c r="F33" s="19" t="str">
        <f t="array" ref="F33">IF(X33="","",INDEX('Inventory - P11'!$E$16:$E$27,(INT((X33-1)/4)+1)))</f>
        <v/>
      </c>
      <c r="G33" s="19" t="str">
        <f t="array" ref="G33">IF(X33="","",INDEX('Inventory - P11'!$I$16:$I$27,(INT((X33-1)/4)+1)))</f>
        <v/>
      </c>
      <c r="H33" s="19" t="str">
        <f t="array" ref="H33">IF(X33="","",INDEX('Inventory - P11'!$J$16:$J$27,(INT((X33-1)/4)+1)))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19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P11'!$D$16:$D$27,(INT((X34-1)/4)+1)))</f>
        <v/>
      </c>
      <c r="F34" s="19" t="str">
        <f t="array" ref="F34">IF(X34="","",INDEX('Inventory - P11'!$E$16:$E$27,(INT((X34-1)/4)+1)))</f>
        <v/>
      </c>
      <c r="G34" s="19" t="str">
        <f t="array" ref="G34">IF(X34="","",INDEX('Inventory - P11'!$I$16:$I$27,(INT((X34-1)/4)+1)))</f>
        <v/>
      </c>
      <c r="H34" s="19" t="str">
        <f t="array" ref="H34">IF(X34="","",INDEX('Inventory - P11'!$J$16:$J$27,(INT((X34-1)/4)+1)))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19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P11'!$D$16:$D$27,(INT((X35-1)/4)+1)))</f>
        <v/>
      </c>
      <c r="F35" s="19" t="str">
        <f t="array" ref="F35">IF(X35="","",INDEX('Inventory - P11'!$E$16:$E$27,(INT((X35-1)/4)+1)))</f>
        <v/>
      </c>
      <c r="G35" s="19" t="str">
        <f t="array" ref="G35">IF(X35="","",INDEX('Inventory - P11'!$I$16:$I$27,(INT((X35-1)/4)+1)))</f>
        <v/>
      </c>
      <c r="H35" s="19" t="str">
        <f t="array" ref="H35">IF(X35="","",INDEX('Inventory - P11'!$J$16:$J$27,(INT((X35-1)/4)+1)))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19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P11'!$D$16:$D$27,(INT((X37-1)/4)+1)))</f>
        <v/>
      </c>
      <c r="F37" s="19" t="str">
        <f t="array" ref="F37">IF(X37="","",INDEX('Inventory - P11'!$E$16:$E$27,(INT((X37-1)/4)+1)))</f>
        <v/>
      </c>
      <c r="G37" s="19" t="str">
        <f t="array" ref="G37">IF(X37="","",INDEX('Inventory - P11'!$I$16:$I$27,(INT((X37-1)/4)+1)))</f>
        <v/>
      </c>
      <c r="H37" s="19" t="str">
        <f t="array" ref="H37">IF(X37="","",INDEX('Inventory - P11'!$J$16:$J$27,(INT((X37-1)/4)+1)))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19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P11'!$D$16:$D$27,(INT((X38-1)/4)+1)))</f>
        <v/>
      </c>
      <c r="F38" s="19" t="str">
        <f t="array" ref="F38">IF(X38="","",INDEX('Inventory - P11'!$E$16:$E$27,(INT((X38-1)/4)+1)))</f>
        <v/>
      </c>
      <c r="G38" s="19" t="str">
        <f t="array" ref="G38">IF(X38="","",INDEX('Inventory - P11'!$I$16:$I$27,(INT((X38-1)/4)+1)))</f>
        <v/>
      </c>
      <c r="H38" s="19" t="str">
        <f t="array" ref="H38">IF(X38="","",INDEX('Inventory - P11'!$J$16:$J$27,(INT((X38-1)/4)+1)))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19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P11'!$D$16:$D$27,(INT((X39-1)/4)+1)))</f>
        <v/>
      </c>
      <c r="F39" s="19" t="str">
        <f t="array" ref="F39">IF(X39="","",INDEX('Inventory - P11'!$E$16:$E$27,(INT((X39-1)/4)+1)))</f>
        <v/>
      </c>
      <c r="G39" s="19" t="str">
        <f t="array" ref="G39">IF(X39="","",INDEX('Inventory - P11'!$I$16:$I$27,(INT((X39-1)/4)+1)))</f>
        <v/>
      </c>
      <c r="H39" s="19" t="str">
        <f t="array" ref="H39">IF(X39="","",INDEX('Inventory - P11'!$J$16:$J$27,(INT((X39-1)/4)+1)))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19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P11'!$D$16:$D$27,(INT((X40-1)/4)+1)))</f>
        <v/>
      </c>
      <c r="F40" s="19" t="str">
        <f t="array" ref="F40">IF(X40="","",INDEX('Inventory - P11'!$E$16:$E$27,(INT((X40-1)/4)+1)))</f>
        <v/>
      </c>
      <c r="G40" s="19" t="str">
        <f t="array" ref="G40">IF(X40="","",INDEX('Inventory - P11'!$I$16:$I$27,(INT((X40-1)/4)+1)))</f>
        <v/>
      </c>
      <c r="H40" s="19" t="str">
        <f t="array" ref="H40">IF(X40="","",INDEX('Inventory - P11'!$J$16:$J$27,(INT((X40-1)/4)+1)))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19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P11'!$D$16:$D$27,(INT((X41-1)/4)+1)))</f>
        <v/>
      </c>
      <c r="F41" s="19" t="str">
        <f t="array" ref="F41">IF(X41="","",INDEX('Inventory - P11'!$E$16:$E$27,(INT((X41-1)/4)+1)))</f>
        <v/>
      </c>
      <c r="G41" s="19" t="str">
        <f t="array" ref="G41">IF(X41="","",INDEX('Inventory - P11'!$I$16:$I$27,(INT((X41-1)/4)+1)))</f>
        <v/>
      </c>
      <c r="H41" s="19" t="str">
        <f t="array" ref="H41">IF(X41="","",INDEX('Inventory - P11'!$J$16:$J$27,(INT((X41-1)/4)+1)))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19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P11'!$D$16:$D$27,(INT((X42-1)/4)+1)))</f>
        <v/>
      </c>
      <c r="F42" s="19" t="str">
        <f t="array" ref="F42">IF(X42="","",INDEX('Inventory - P11'!$E$16:$E$27,(INT((X42-1)/4)+1)))</f>
        <v/>
      </c>
      <c r="G42" s="19" t="str">
        <f t="array" ref="G42">IF(X42="","",INDEX('Inventory - P11'!$I$16:$I$27,(INT((X42-1)/4)+1)))</f>
        <v/>
      </c>
      <c r="H42" s="19" t="str">
        <f t="array" ref="H42">IF(X42="","",INDEX('Inventory - P11'!$J$16:$J$27,(INT((X42-1)/4)+1)))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19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P11'!$D$16:$D$27,(INT((X43-1)/4)+1)))</f>
        <v/>
      </c>
      <c r="F43" s="19" t="str">
        <f t="array" ref="F43">IF(X43="","",INDEX('Inventory - P11'!$E$16:$E$27,(INT((X43-1)/4)+1)))</f>
        <v/>
      </c>
      <c r="G43" s="19" t="str">
        <f t="array" ref="G43">IF(X43="","",INDEX('Inventory - P11'!$I$16:$I$27,(INT((X43-1)/4)+1)))</f>
        <v/>
      </c>
      <c r="H43" s="19" t="str">
        <f t="array" ref="H43">IF(X43="","",INDEX('Inventory - P11'!$J$16:$J$27,(INT((X43-1)/4)+1)))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19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P11'!$D$16:$D$27,(INT((X44-1)/4)+1)))</f>
        <v/>
      </c>
      <c r="F44" s="19" t="str">
        <f t="array" ref="F44">IF(X44="","",INDEX('Inventory - P11'!$E$16:$E$27,(INT((X44-1)/4)+1)))</f>
        <v/>
      </c>
      <c r="G44" s="19" t="str">
        <f t="array" ref="G44">IF(X44="","",INDEX('Inventory - P11'!$I$16:$I$27,(INT((X44-1)/4)+1)))</f>
        <v/>
      </c>
      <c r="H44" s="19" t="str">
        <f t="array" ref="H44">IF(X44="","",INDEX('Inventory - P11'!$J$16:$J$27,(INT((X44-1)/4)+1)))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19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P11'!$D$16:$D$27,(INT((X45-1)/4)+1)))</f>
        <v/>
      </c>
      <c r="F45" s="19" t="str">
        <f t="array" ref="F45">IF(X45="","",INDEX('Inventory - P11'!$E$16:$E$27,(INT((X45-1)/4)+1)))</f>
        <v/>
      </c>
      <c r="G45" s="19" t="str">
        <f t="array" ref="G45">IF(X45="","",INDEX('Inventory - P11'!$I$16:$I$27,(INT((X45-1)/4)+1)))</f>
        <v/>
      </c>
      <c r="H45" s="19" t="str">
        <f t="array" ref="H45">IF(X45="","",INDEX('Inventory - P11'!$J$16:$J$27,(INT((X45-1)/4)+1)))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19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P11'!$D$16:$D$27,(INT((X46-1)/4)+1)))</f>
        <v/>
      </c>
      <c r="F46" s="19" t="str">
        <f t="array" ref="F46">IF(X46="","",INDEX('Inventory - P11'!$E$16:$E$27,(INT((X46-1)/4)+1)))</f>
        <v/>
      </c>
      <c r="G46" s="19" t="str">
        <f t="array" ref="G46">IF(X46="","",INDEX('Inventory - P11'!$I$16:$I$27,(INT((X46-1)/4)+1)))</f>
        <v/>
      </c>
      <c r="H46" s="19" t="str">
        <f t="array" ref="H46">IF(X46="","",INDEX('Inventory - P11'!$J$16:$J$27,(INT((X46-1)/4)+1)))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19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P11'!$D$16:$D$27,(INT((X47-1)/4)+1)))</f>
        <v/>
      </c>
      <c r="F47" s="19" t="str">
        <f t="array" ref="F47">IF(X47="","",INDEX('Inventory - P11'!$E$16:$E$27,(INT((X47-1)/4)+1)))</f>
        <v/>
      </c>
      <c r="G47" s="19" t="str">
        <f t="array" ref="G47">IF(X47="","",INDEX('Inventory - P11'!$I$16:$I$27,(INT((X47-1)/4)+1)))</f>
        <v/>
      </c>
      <c r="H47" s="19" t="str">
        <f t="array" ref="H47">IF(X47="","",INDEX('Inventory - P11'!$J$16:$J$27,(INT((X47-1)/4)+1)))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19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P11'!$D$16:$D$27,(INT((X48-1)/4)+1)))</f>
        <v/>
      </c>
      <c r="F48" s="19" t="str">
        <f t="array" ref="F48">IF(X48="","",INDEX('Inventory - P11'!$E$16:$E$27,(INT((X48-1)/4)+1)))</f>
        <v/>
      </c>
      <c r="G48" s="19" t="str">
        <f t="array" ref="G48">IF(X48="","",INDEX('Inventory - P11'!$I$16:$I$27,(INT((X48-1)/4)+1)))</f>
        <v/>
      </c>
      <c r="H48" s="19" t="str">
        <f t="array" ref="H48">IF(X48="","",INDEX('Inventory - P11'!$J$16:$J$27,(INT((X48-1)/4)+1)))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19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P11'!$D$16:$D$27,(INT((X50-1)/4)+1)))</f>
        <v/>
      </c>
      <c r="F50" s="19" t="str">
        <f t="array" ref="F50">IF(X50="","",INDEX('Inventory - P11'!$E$16:$E$27,(INT((X50-1)/4)+1)))</f>
        <v/>
      </c>
      <c r="G50" s="19" t="str">
        <f t="array" ref="G50">IF(X50="","",INDEX('Inventory - P11'!$I$16:$I$27,(INT((X50-1)/4)+1)))</f>
        <v/>
      </c>
      <c r="H50" s="19" t="str">
        <f t="array" ref="H50">IF(X50="","",INDEX('Inventory - P11'!$J$16:$J$27,(INT((X50-1)/4)+1)))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19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P11'!$D$16:$D$27,(INT((X51-1)/4)+1)))</f>
        <v/>
      </c>
      <c r="F51" s="19" t="str">
        <f t="array" ref="F51">IF(X51="","",INDEX('Inventory - P11'!$E$16:$E$27,(INT((X51-1)/4)+1)))</f>
        <v/>
      </c>
      <c r="G51" s="19" t="str">
        <f t="array" ref="G51">IF(X51="","",INDEX('Inventory - P11'!$I$16:$I$27,(INT((X51-1)/4)+1)))</f>
        <v/>
      </c>
      <c r="H51" s="19" t="str">
        <f t="array" ref="H51">IF(X51="","",INDEX('Inventory - P11'!$J$16:$J$27,(INT((X51-1)/4)+1)))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19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P11'!$D$16:$D$27,(INT((X52-1)/4)+1)))</f>
        <v/>
      </c>
      <c r="F52" s="19" t="str">
        <f t="array" ref="F52">IF(X52="","",INDEX('Inventory - P11'!$E$16:$E$27,(INT((X52-1)/4)+1)))</f>
        <v/>
      </c>
      <c r="G52" s="19" t="str">
        <f t="array" ref="G52">IF(X52="","",INDEX('Inventory - P11'!$I$16:$I$27,(INT((X52-1)/4)+1)))</f>
        <v/>
      </c>
      <c r="H52" s="19" t="str">
        <f t="array" ref="H52">IF(X52="","",INDEX('Inventory - P11'!$J$16:$J$27,(INT((X52-1)/4)+1)))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19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P11'!$D$16:$D$27,(INT((X53-1)/4)+1)))</f>
        <v/>
      </c>
      <c r="F53" s="19" t="str">
        <f t="array" ref="F53">IF(X53="","",INDEX('Inventory - P11'!$E$16:$E$27,(INT((X53-1)/4)+1)))</f>
        <v/>
      </c>
      <c r="G53" s="19" t="str">
        <f t="array" ref="G53">IF(X53="","",INDEX('Inventory - P11'!$I$16:$I$27,(INT((X53-1)/4)+1)))</f>
        <v/>
      </c>
      <c r="H53" s="19" t="str">
        <f t="array" ref="H53">IF(X53="","",INDEX('Inventory - P11'!$J$16:$J$27,(INT((X53-1)/4)+1)))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19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P11'!$D$16:$D$27,(INT((X54-1)/4)+1)))</f>
        <v/>
      </c>
      <c r="F54" s="19" t="str">
        <f t="array" ref="F54">IF(X54="","",INDEX('Inventory - P11'!$E$16:$E$27,(INT((X54-1)/4)+1)))</f>
        <v/>
      </c>
      <c r="G54" s="19" t="str">
        <f t="array" ref="G54">IF(X54="","",INDEX('Inventory - P11'!$I$16:$I$27,(INT((X54-1)/4)+1)))</f>
        <v/>
      </c>
      <c r="H54" s="19" t="str">
        <f t="array" ref="H54">IF(X54="","",INDEX('Inventory - P11'!$J$16:$J$27,(INT((X54-1)/4)+1)))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19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P11'!$D$16:$D$27,(INT((X55-1)/4)+1)))</f>
        <v/>
      </c>
      <c r="F55" s="19" t="str">
        <f t="array" ref="F55">IF(X55="","",INDEX('Inventory - P11'!$E$16:$E$27,(INT((X55-1)/4)+1)))</f>
        <v/>
      </c>
      <c r="G55" s="19" t="str">
        <f t="array" ref="G55">IF(X55="","",INDEX('Inventory - P11'!$I$16:$I$27,(INT((X55-1)/4)+1)))</f>
        <v/>
      </c>
      <c r="H55" s="19" t="str">
        <f t="array" ref="H55">IF(X55="","",INDEX('Inventory - P11'!$J$16:$J$27,(INT((X55-1)/4)+1)))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19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P11'!$D$16:$D$27,(INT((X56-1)/4)+1)))</f>
        <v/>
      </c>
      <c r="F56" s="19" t="str">
        <f t="array" ref="F56">IF(X56="","",INDEX('Inventory - P11'!$E$16:$E$27,(INT((X56-1)/4)+1)))</f>
        <v/>
      </c>
      <c r="G56" s="19" t="str">
        <f t="array" ref="G56">IF(X56="","",INDEX('Inventory - P11'!$I$16:$I$27,(INT((X56-1)/4)+1)))</f>
        <v/>
      </c>
      <c r="H56" s="19" t="str">
        <f t="array" ref="H56">IF(X56="","",INDEX('Inventory - P11'!$J$16:$J$27,(INT((X56-1)/4)+1)))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19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P11'!$D$16:$D$27,(INT((X57-1)/4)+1)))</f>
        <v/>
      </c>
      <c r="F57" s="19" t="str">
        <f t="array" ref="F57">IF(X57="","",INDEX('Inventory - P11'!$E$16:$E$27,(INT((X57-1)/4)+1)))</f>
        <v/>
      </c>
      <c r="G57" s="19" t="str">
        <f t="array" ref="G57">IF(X57="","",INDEX('Inventory - P11'!$I$16:$I$27,(INT((X57-1)/4)+1)))</f>
        <v/>
      </c>
      <c r="H57" s="19" t="str">
        <f t="array" ref="H57">IF(X57="","",INDEX('Inventory - P11'!$J$16:$J$27,(INT((X57-1)/4)+1)))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19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P11'!$D$16:$D$27,(INT((X58-1)/4)+1)))</f>
        <v/>
      </c>
      <c r="F58" s="19" t="str">
        <f t="array" ref="F58">IF(X58="","",INDEX('Inventory - P11'!$E$16:$E$27,(INT((X58-1)/4)+1)))</f>
        <v/>
      </c>
      <c r="G58" s="19" t="str">
        <f t="array" ref="G58">IF(X58="","",INDEX('Inventory - P11'!$I$16:$I$27,(INT((X58-1)/4)+1)))</f>
        <v/>
      </c>
      <c r="H58" s="19" t="str">
        <f t="array" ref="H58">IF(X58="","",INDEX('Inventory - P11'!$J$16:$J$27,(INT((X58-1)/4)+1)))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19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P11'!$D$16:$D$27,(INT((X59-1)/4)+1)))</f>
        <v/>
      </c>
      <c r="F59" s="19" t="str">
        <f t="array" ref="F59">IF(X59="","",INDEX('Inventory - P11'!$E$16:$E$27,(INT((X59-1)/4)+1)))</f>
        <v/>
      </c>
      <c r="G59" s="19" t="str">
        <f t="array" ref="G59">IF(X59="","",INDEX('Inventory - P11'!$I$16:$I$27,(INT((X59-1)/4)+1)))</f>
        <v/>
      </c>
      <c r="H59" s="19" t="str">
        <f t="array" ref="H59">IF(X59="","",INDEX('Inventory - P11'!$J$16:$J$27,(INT((X59-1)/4)+1)))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19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P11'!$D$16:$D$27,(INT((X60-1)/4)+1)))</f>
        <v/>
      </c>
      <c r="F60" s="19" t="str">
        <f t="array" ref="F60">IF(X60="","",INDEX('Inventory - P11'!$E$16:$E$27,(INT((X60-1)/4)+1)))</f>
        <v/>
      </c>
      <c r="G60" s="19" t="str">
        <f t="array" ref="G60">IF(X60="","",INDEX('Inventory - P11'!$I$16:$I$27,(INT((X60-1)/4)+1)))</f>
        <v/>
      </c>
      <c r="H60" s="19" t="str">
        <f t="array" ref="H60">IF(X60="","",INDEX('Inventory - P11'!$J$16:$J$27,(INT((X60-1)/4)+1)))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19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P11'!$D$16:$D$27,(INT((X61-1)/4)+1)))</f>
        <v/>
      </c>
      <c r="F61" s="19" t="str">
        <f t="array" ref="F61">IF(X61="","",INDEX('Inventory - P11'!$E$16:$E$27,(INT((X61-1)/4)+1)))</f>
        <v/>
      </c>
      <c r="G61" s="19" t="str">
        <f t="array" ref="G61">IF(X61="","",INDEX('Inventory - P11'!$I$16:$I$27,(INT((X61-1)/4)+1)))</f>
        <v/>
      </c>
      <c r="H61" s="19" t="str">
        <f t="array" ref="H61">IF(X61="","",INDEX('Inventory - P11'!$J$16:$J$27,(INT((X61-1)/4)+1)))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P11'!E16&lt;1,'Inventory - P11'!F16="",'Inventory - P11'!G16=""),9,MOD('Inventory - P11'!F16+0*'Inventory - P11'!G16/24,1))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P11'!E16&lt;2,'Inventory - P11'!F16="",'Inventory - P11'!G16=""),9,MOD('Inventory - P11'!F16+1*'Inventory - P11'!G16/24,1))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P11'!E16&lt;3,'Inventory - P11'!F16="",'Inventory - P11'!G16=""),9,MOD('Inventory - P11'!F16+2*'Inventory - P11'!G16/24,1))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P11'!E16&lt;4,'Inventory - P11'!F16="",'Inventory - P11'!G16=""),9,MOD('Inventory - P11'!F16+3*'Inventory - P11'!G16/24,1))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P11'!E17&lt;1,'Inventory - P11'!F17="",'Inventory - P11'!G17=""),9,MOD('Inventory - P11'!F17+0*'Inventory - P11'!G17/24,1))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P11'!E17&lt;2,'Inventory - P11'!F17="",'Inventory - P11'!G17=""),9,MOD('Inventory - P11'!F17+1*'Inventory - P11'!G17/24,1))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P11'!E17&lt;3,'Inventory - P11'!F17="",'Inventory - P11'!G17=""),9,MOD('Inventory - P11'!F17+2*'Inventory - P11'!G17/24,1))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P11'!E17&lt;4,'Inventory - P11'!F17="",'Inventory - P11'!G17=""),9,MOD('Inventory - P11'!F17+3*'Inventory - P11'!G17/24,1))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P11'!E18&lt;1,'Inventory - P11'!F18="",'Inventory - P11'!G18=""),9,MOD('Inventory - P11'!F18+0*'Inventory - P11'!G18/24,1))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P11'!E18&lt;2,'Inventory - P11'!F18="",'Inventory - P11'!G18=""),9,MOD('Inventory - P11'!F18+1*'Inventory - P11'!G18/24,1))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P11'!E18&lt;3,'Inventory - P11'!F18="",'Inventory - P11'!G18=""),9,MOD('Inventory - P11'!F18+2*'Inventory - P11'!G18/24,1))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P11'!E18&lt;4,'Inventory - P11'!F18="",'Inventory - P11'!G18=""),9,MOD('Inventory - P11'!F18+3*'Inventory - P11'!G18/24,1))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P11'!E19&lt;1,'Inventory - P11'!F19="",'Inventory - P11'!G19=""),9,MOD('Inventory - P11'!F19+0*'Inventory - P11'!G19/24,1))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P11'!E19&lt;2,'Inventory - P11'!F19="",'Inventory - P11'!G19=""),9,MOD('Inventory - P11'!F19+1*'Inventory - P11'!G19/24,1))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P11'!E19&lt;3,'Inventory - P11'!F19="",'Inventory - P11'!G19=""),9,MOD('Inventory - P11'!F19+2*'Inventory - P11'!G19/24,1))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P11'!E19&lt;4,'Inventory - P11'!F19="",'Inventory - P11'!G19=""),9,MOD('Inventory - P11'!F19+3*'Inventory - P11'!G19/24,1))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P11'!E20&lt;1,'Inventory - P11'!F20="",'Inventory - P11'!G20=""),9,MOD('Inventory - P11'!F20+0*'Inventory - P11'!G20/24,1))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P11'!E20&lt;2,'Inventory - P11'!F20="",'Inventory - P11'!G20=""),9,MOD('Inventory - P11'!F20+1*'Inventory - P11'!G20/24,1))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P11'!E20&lt;3,'Inventory - P11'!F20="",'Inventory - P11'!G20=""),9,MOD('Inventory - P11'!F20+2*'Inventory - P11'!G20/24,1))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P11'!E20&lt;4,'Inventory - P11'!F20="",'Inventory - P11'!G20=""),9,MOD('Inventory - P11'!F20+3*'Inventory - P11'!G20/24,1))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P11'!E21&lt;1,'Inventory - P11'!F21="",'Inventory - P11'!G21=""),9,MOD('Inventory - P11'!F21+0*'Inventory - P11'!G21/24,1))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P11'!E21&lt;2,'Inventory - P11'!F21="",'Inventory - P11'!G21=""),9,MOD('Inventory - P11'!F21+1*'Inventory - P11'!G21/24,1))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P11'!E21&lt;3,'Inventory - P11'!F21="",'Inventory - P11'!G21=""),9,MOD('Inventory - P11'!F21+2*'Inventory - P11'!G21/24,1))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P11'!E21&lt;4,'Inventory - P11'!F21="",'Inventory - P11'!G21=""),9,MOD('Inventory - P11'!F21+3*'Inventory - P11'!G21/24,1))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P11'!E22&lt;1,'Inventory - P11'!F22="",'Inventory - P11'!G22=""),9,MOD('Inventory - P11'!F22+0*'Inventory - P11'!G22/24,1))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P11'!E22&lt;2,'Inventory - P11'!F22="",'Inventory - P11'!G22=""),9,MOD('Inventory - P11'!F22+1*'Inventory - P11'!G22/24,1))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P11'!E22&lt;3,'Inventory - P11'!F22="",'Inventory - P11'!G22=""),9,MOD('Inventory - P11'!F22+2*'Inventory - P11'!G22/24,1))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P11'!E22&lt;4,'Inventory - P11'!F22="",'Inventory - P11'!G22=""),9,MOD('Inventory - P11'!F22+3*'Inventory - P11'!G22/24,1))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P11'!E23&lt;1,'Inventory - P11'!F23="",'Inventory - P11'!G23=""),9,MOD('Inventory - P11'!F23+0*'Inventory - P11'!G23/24,1))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P11'!E23&lt;2,'Inventory - P11'!F23="",'Inventory - P11'!G23=""),9,MOD('Inventory - P11'!F23+1*'Inventory - P11'!G23/24,1))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P11'!E23&lt;3,'Inventory - P11'!F23="",'Inventory - P11'!G23=""),9,MOD('Inventory - P11'!F23+2*'Inventory - P11'!G23/24,1))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P11'!E23&lt;4,'Inventory - P11'!F23="",'Inventory - P11'!G23=""),9,MOD('Inventory - P11'!F23+3*'Inventory - P11'!G23/24,1))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P11'!E24&lt;1,'Inventory - P11'!F24="",'Inventory - P11'!G24=""),9,MOD('Inventory - P11'!F24+0*'Inventory - P11'!G24/24,1))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P11'!E24&lt;2,'Inventory - P11'!F24="",'Inventory - P11'!G24=""),9,MOD('Inventory - P11'!F24+1*'Inventory - P11'!G24/24,1))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P11'!E24&lt;3,'Inventory - P11'!F24="",'Inventory - P11'!G24=""),9,MOD('Inventory - P11'!F24+2*'Inventory - P11'!G24/24,1))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P11'!E24&lt;4,'Inventory - P11'!F24="",'Inventory - P11'!G24=""),9,MOD('Inventory - P11'!F24+3*'Inventory - P11'!G24/24,1))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P11'!E25&lt;1,'Inventory - P11'!F25="",'Inventory - P11'!G25=""),9,MOD('Inventory - P11'!F25+0*'Inventory - P11'!G25/24,1))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P11'!E25&lt;2,'Inventory - P11'!F25="",'Inventory - P11'!G25=""),9,MOD('Inventory - P11'!F25+1*'Inventory - P11'!G25/24,1))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P11'!E25&lt;3,'Inventory - P11'!F25="",'Inventory - P11'!G25=""),9,MOD('Inventory - P11'!F25+2*'Inventory - P11'!G25/24,1))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P11'!E25&lt;4,'Inventory - P11'!F25="",'Inventory - P11'!G25=""),9,MOD('Inventory - P11'!F25+3*'Inventory - P11'!G25/24,1))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P11'!E26&lt;1,'Inventory - P11'!F26="",'Inventory - P11'!G26=""),9,MOD('Inventory - P11'!F26+0*'Inventory - P11'!G26/24,1))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P11'!E26&lt;2,'Inventory - P11'!F26="",'Inventory - P11'!G26=""),9,MOD('Inventory - P11'!F26+1*'Inventory - P11'!G26/24,1))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P11'!E26&lt;3,'Inventory - P11'!F26="",'Inventory - P11'!G26=""),9,MOD('Inventory - P11'!F26+2*'Inventory - P11'!G26/24,1))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P11'!E26&lt;4,'Inventory - P11'!F26="",'Inventory - P11'!G26=""),9,MOD('Inventory - P11'!F26+3*'Inventory - P11'!G26/24,1))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P11'!E27&lt;1,'Inventory - P11'!F27="",'Inventory - P11'!G27=""),9,MOD('Inventory - P11'!F27+0*'Inventory - P11'!G27/24,1))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P11'!E27&lt;2,'Inventory - P11'!F27="",'Inventory - P11'!G27=""),9,MOD('Inventory - P11'!F27+1*'Inventory - P11'!G27/24,1))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P11'!E27&lt;3,'Inventory - P11'!F27="",'Inventory - P11'!G27=""),9,MOD('Inventory - P11'!F27+2*'Inventory - P11'!G27/24,1))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P11'!E27&lt;4,'Inventory - P11'!F27="",'Inventory - P11'!G27=""),9,MOD('Inventory - P11'!F27+3*'Inventory - P11'!G27/24,1))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Tracker'!S16="","","INV-"&amp;SUBSTITUTE('Client Needs Tracker'!S16," ",""))</f>
        <v>INV-F-2B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Tracker'!B16="","(Add client on Client Needs Tracker, row 16)",'Client Needs Tracker'!B16)</f>
        <v>(Add client on Client Needs Tracker, row 16)</v>
      </c>
      <c r="B6" s="104"/>
      <c r="C6" s="104"/>
      <c r="D6" s="104"/>
      <c r="E6" s="104"/>
      <c r="F6" s="105" t="str">
        <f>'Client Needs Tracker'!A16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Tracker'!C16="","",'Client Needs Tracker'!C16)</f>
        <v/>
      </c>
      <c r="B8" s="104"/>
      <c r="C8" s="104"/>
      <c r="D8" s="104"/>
      <c r="E8" s="104"/>
      <c r="F8" s="108" t="str">
        <f>'Client Needs Tracker'!E16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Tracker'!F16="","",'Client Needs Tracker'!F16)</f>
        <v/>
      </c>
      <c r="B10" s="104"/>
      <c r="C10" s="104"/>
      <c r="D10" s="104"/>
      <c r="E10" s="104"/>
      <c r="F10" s="110" t="str">
        <f>IF('Client Status Board'!G16="","",'Client Status Board'!G16)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Board'!L16="","",'Client Status Board'!L16)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/>
      </c>
    </row>
    <row r="3" ht="15.0" customHeight="1">
      <c r="A3" s="130" t="str">
        <f>IF('Inventory - P12'!A6="","(Enter name in Inventory - P12)",'Inventory - P12'!A6)</f>
        <v>(Add client on Client Needs Tracker, row 16)</v>
      </c>
      <c r="B3" s="131"/>
      <c r="C3" s="131"/>
      <c r="D3" s="131"/>
      <c r="E3" s="131"/>
      <c r="F3" s="132" t="str">
        <f>IF('Inventory - P12'!F6="","(Enter ID in Inventory - P12)","Member ID: "&amp;'Inventory - P12'!F6)</f>
        <v>(Enter ID in Inventory - P12)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Tracker'!S16="","","INV-"&amp;SUBSTITUTE('Client Needs Tracker'!S16," ",""))</f>
        <v>INV-F-2B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P12'!F8="","-",'Inventory - P12'!F8)</f>
        <v>LOC: -</v>
      </c>
      <c r="C5" s="3"/>
      <c r="D5" s="134" t="str">
        <f>"Case Manager: "&amp;IF('Inventory - P12'!A10="","-",'Inventory - P12'!A10)</f>
        <v>Case Manager: -</v>
      </c>
      <c r="F5" s="3"/>
      <c r="G5" s="134" t="str">
        <f>"Doctor: "&amp;IF('Inventory - P12'!F10="","-",'Inventory - P12'!F10)</f>
        <v>Doctor: -</v>
      </c>
      <c r="I5" s="3"/>
      <c r="J5" s="134" t="str">
        <f>"Pharmacy: "&amp;IF('Inventory - P12'!A12="","-",'Inventory - P12'!A12)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P12'!A14="","",'Inventory - P12'!A14)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P12'!A14="","",'Inventory - P12'!A14+0)</f>
        <v/>
      </c>
      <c r="J8" s="139"/>
      <c r="K8" s="138" t="str">
        <f>IF('Inventory - P12'!A14="","",'Inventory - P12'!A14+1)</f>
        <v/>
      </c>
      <c r="L8" s="139"/>
      <c r="M8" s="138" t="str">
        <f>IF('Inventory - P12'!A14="","",'Inventory - P12'!A14+2)</f>
        <v/>
      </c>
      <c r="N8" s="139"/>
      <c r="O8" s="138" t="str">
        <f>IF('Inventory - P12'!A14="","",'Inventory - P12'!A14+3)</f>
        <v/>
      </c>
      <c r="P8" s="139"/>
      <c r="Q8" s="138" t="str">
        <f>IF('Inventory - P12'!A14="","",'Inventory - P12'!A14+4)</f>
        <v/>
      </c>
      <c r="R8" s="139"/>
      <c r="S8" s="138" t="str">
        <f>IF('Inventory - P12'!A14="","",'Inventory - P12'!A14+5)</f>
        <v/>
      </c>
      <c r="T8" s="139"/>
      <c r="U8" s="138" t="str">
        <f>IF('Inventory - P12'!A14="","",'Inventory - P12'!A14+6)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19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P12'!$D$16:$D$27,(INT((X11-1)/4)+1)))</f>
        <v/>
      </c>
      <c r="F11" s="19" t="str">
        <f t="array" ref="F11">IF(X11="","",INDEX('Inventory - P12'!$E$16:$E$27,(INT((X11-1)/4)+1)))</f>
        <v/>
      </c>
      <c r="G11" s="19" t="str">
        <f t="array" ref="G11">IF(X11="","",INDEX('Inventory - P12'!$I$16:$I$27,(INT((X11-1)/4)+1)))</f>
        <v/>
      </c>
      <c r="H11" s="19" t="str">
        <f t="array" ref="H11">IF(X11="","",INDEX('Inventory - P12'!$J$16:$J$27,(INT((X11-1)/4)+1)))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19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P12'!$D$16:$D$27,(INT((X12-1)/4)+1)))</f>
        <v/>
      </c>
      <c r="F12" s="19" t="str">
        <f t="array" ref="F12">IF(X12="","",INDEX('Inventory - P12'!$E$16:$E$27,(INT((X12-1)/4)+1)))</f>
        <v/>
      </c>
      <c r="G12" s="19" t="str">
        <f t="array" ref="G12">IF(X12="","",INDEX('Inventory - P12'!$I$16:$I$27,(INT((X12-1)/4)+1)))</f>
        <v/>
      </c>
      <c r="H12" s="19" t="str">
        <f t="array" ref="H12">IF(X12="","",INDEX('Inventory - P12'!$J$16:$J$27,(INT((X12-1)/4)+1)))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19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P12'!$D$16:$D$27,(INT((X13-1)/4)+1)))</f>
        <v/>
      </c>
      <c r="F13" s="19" t="str">
        <f t="array" ref="F13">IF(X13="","",INDEX('Inventory - P12'!$E$16:$E$27,(INT((X13-1)/4)+1)))</f>
        <v/>
      </c>
      <c r="G13" s="19" t="str">
        <f t="array" ref="G13">IF(X13="","",INDEX('Inventory - P12'!$I$16:$I$27,(INT((X13-1)/4)+1)))</f>
        <v/>
      </c>
      <c r="H13" s="19" t="str">
        <f t="array" ref="H13">IF(X13="","",INDEX('Inventory - P12'!$J$16:$J$27,(INT((X13-1)/4)+1)))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19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P12'!$D$16:$D$27,(INT((X14-1)/4)+1)))</f>
        <v/>
      </c>
      <c r="F14" s="19" t="str">
        <f t="array" ref="F14">IF(X14="","",INDEX('Inventory - P12'!$E$16:$E$27,(INT((X14-1)/4)+1)))</f>
        <v/>
      </c>
      <c r="G14" s="19" t="str">
        <f t="array" ref="G14">IF(X14="","",INDEX('Inventory - P12'!$I$16:$I$27,(INT((X14-1)/4)+1)))</f>
        <v/>
      </c>
      <c r="H14" s="19" t="str">
        <f t="array" ref="H14">IF(X14="","",INDEX('Inventory - P12'!$J$16:$J$27,(INT((X14-1)/4)+1)))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19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P12'!$D$16:$D$27,(INT((X15-1)/4)+1)))</f>
        <v/>
      </c>
      <c r="F15" s="19" t="str">
        <f t="array" ref="F15">IF(X15="","",INDEX('Inventory - P12'!$E$16:$E$27,(INT((X15-1)/4)+1)))</f>
        <v/>
      </c>
      <c r="G15" s="19" t="str">
        <f t="array" ref="G15">IF(X15="","",INDEX('Inventory - P12'!$I$16:$I$27,(INT((X15-1)/4)+1)))</f>
        <v/>
      </c>
      <c r="H15" s="19" t="str">
        <f t="array" ref="H15">IF(X15="","",INDEX('Inventory - P12'!$J$16:$J$27,(INT((X15-1)/4)+1)))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19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P12'!$D$16:$D$27,(INT((X16-1)/4)+1)))</f>
        <v/>
      </c>
      <c r="F16" s="19" t="str">
        <f t="array" ref="F16">IF(X16="","",INDEX('Inventory - P12'!$E$16:$E$27,(INT((X16-1)/4)+1)))</f>
        <v/>
      </c>
      <c r="G16" s="19" t="str">
        <f t="array" ref="G16">IF(X16="","",INDEX('Inventory - P12'!$I$16:$I$27,(INT((X16-1)/4)+1)))</f>
        <v/>
      </c>
      <c r="H16" s="19" t="str">
        <f t="array" ref="H16">IF(X16="","",INDEX('Inventory - P12'!$J$16:$J$27,(INT((X16-1)/4)+1)))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19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P12'!$D$16:$D$27,(INT((X17-1)/4)+1)))</f>
        <v/>
      </c>
      <c r="F17" s="19" t="str">
        <f t="array" ref="F17">IF(X17="","",INDEX('Inventory - P12'!$E$16:$E$27,(INT((X17-1)/4)+1)))</f>
        <v/>
      </c>
      <c r="G17" s="19" t="str">
        <f t="array" ref="G17">IF(X17="","",INDEX('Inventory - P12'!$I$16:$I$27,(INT((X17-1)/4)+1)))</f>
        <v/>
      </c>
      <c r="H17" s="19" t="str">
        <f t="array" ref="H17">IF(X17="","",INDEX('Inventory - P12'!$J$16:$J$27,(INT((X17-1)/4)+1)))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19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P12'!$D$16:$D$27,(INT((X18-1)/4)+1)))</f>
        <v/>
      </c>
      <c r="F18" s="19" t="str">
        <f t="array" ref="F18">IF(X18="","",INDEX('Inventory - P12'!$E$16:$E$27,(INT((X18-1)/4)+1)))</f>
        <v/>
      </c>
      <c r="G18" s="19" t="str">
        <f t="array" ref="G18">IF(X18="","",INDEX('Inventory - P12'!$I$16:$I$27,(INT((X18-1)/4)+1)))</f>
        <v/>
      </c>
      <c r="H18" s="19" t="str">
        <f t="array" ref="H18">IF(X18="","",INDEX('Inventory - P12'!$J$16:$J$27,(INT((X18-1)/4)+1)))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19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P12'!$D$16:$D$27,(INT((X19-1)/4)+1)))</f>
        <v/>
      </c>
      <c r="F19" s="19" t="str">
        <f t="array" ref="F19">IF(X19="","",INDEX('Inventory - P12'!$E$16:$E$27,(INT((X19-1)/4)+1)))</f>
        <v/>
      </c>
      <c r="G19" s="19" t="str">
        <f t="array" ref="G19">IF(X19="","",INDEX('Inventory - P12'!$I$16:$I$27,(INT((X19-1)/4)+1)))</f>
        <v/>
      </c>
      <c r="H19" s="19" t="str">
        <f t="array" ref="H19">IF(X19="","",INDEX('Inventory - P12'!$J$16:$J$27,(INT((X19-1)/4)+1)))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19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P12'!$D$16:$D$27,(INT((X20-1)/4)+1)))</f>
        <v/>
      </c>
      <c r="F20" s="19" t="str">
        <f t="array" ref="F20">IF(X20="","",INDEX('Inventory - P12'!$E$16:$E$27,(INT((X20-1)/4)+1)))</f>
        <v/>
      </c>
      <c r="G20" s="19" t="str">
        <f t="array" ref="G20">IF(X20="","",INDEX('Inventory - P12'!$I$16:$I$27,(INT((X20-1)/4)+1)))</f>
        <v/>
      </c>
      <c r="H20" s="19" t="str">
        <f t="array" ref="H20">IF(X20="","",INDEX('Inventory - P12'!$J$16:$J$27,(INT((X20-1)/4)+1)))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19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P12'!$D$16:$D$27,(INT((X21-1)/4)+1)))</f>
        <v/>
      </c>
      <c r="F21" s="19" t="str">
        <f t="array" ref="F21">IF(X21="","",INDEX('Inventory - P12'!$E$16:$E$27,(INT((X21-1)/4)+1)))</f>
        <v/>
      </c>
      <c r="G21" s="19" t="str">
        <f t="array" ref="G21">IF(X21="","",INDEX('Inventory - P12'!$I$16:$I$27,(INT((X21-1)/4)+1)))</f>
        <v/>
      </c>
      <c r="H21" s="19" t="str">
        <f t="array" ref="H21">IF(X21="","",INDEX('Inventory - P12'!$J$16:$J$27,(INT((X21-1)/4)+1)))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19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P12'!$D$16:$D$27,(INT((X22-1)/4)+1)))</f>
        <v/>
      </c>
      <c r="F22" s="19" t="str">
        <f t="array" ref="F22">IF(X22="","",INDEX('Inventory - P12'!$E$16:$E$27,(INT((X22-1)/4)+1)))</f>
        <v/>
      </c>
      <c r="G22" s="19" t="str">
        <f t="array" ref="G22">IF(X22="","",INDEX('Inventory - P12'!$I$16:$I$27,(INT((X22-1)/4)+1)))</f>
        <v/>
      </c>
      <c r="H22" s="19" t="str">
        <f t="array" ref="H22">IF(X22="","",INDEX('Inventory - P12'!$J$16:$J$27,(INT((X22-1)/4)+1)))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19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P12'!$D$16:$D$27,(INT((X24-1)/4)+1)))</f>
        <v/>
      </c>
      <c r="F24" s="19" t="str">
        <f t="array" ref="F24">IF(X24="","",INDEX('Inventory - P12'!$E$16:$E$27,(INT((X24-1)/4)+1)))</f>
        <v/>
      </c>
      <c r="G24" s="19" t="str">
        <f t="array" ref="G24">IF(X24="","",INDEX('Inventory - P12'!$I$16:$I$27,(INT((X24-1)/4)+1)))</f>
        <v/>
      </c>
      <c r="H24" s="19" t="str">
        <f t="array" ref="H24">IF(X24="","",INDEX('Inventory - P12'!$J$16:$J$27,(INT((X24-1)/4)+1)))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19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P12'!$D$16:$D$27,(INT((X25-1)/4)+1)))</f>
        <v/>
      </c>
      <c r="F25" s="19" t="str">
        <f t="array" ref="F25">IF(X25="","",INDEX('Inventory - P12'!$E$16:$E$27,(INT((X25-1)/4)+1)))</f>
        <v/>
      </c>
      <c r="G25" s="19" t="str">
        <f t="array" ref="G25">IF(X25="","",INDEX('Inventory - P12'!$I$16:$I$27,(INT((X25-1)/4)+1)))</f>
        <v/>
      </c>
      <c r="H25" s="19" t="str">
        <f t="array" ref="H25">IF(X25="","",INDEX('Inventory - P12'!$J$16:$J$27,(INT((X25-1)/4)+1)))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19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P12'!$D$16:$D$27,(INT((X26-1)/4)+1)))</f>
        <v/>
      </c>
      <c r="F26" s="19" t="str">
        <f t="array" ref="F26">IF(X26="","",INDEX('Inventory - P12'!$E$16:$E$27,(INT((X26-1)/4)+1)))</f>
        <v/>
      </c>
      <c r="G26" s="19" t="str">
        <f t="array" ref="G26">IF(X26="","",INDEX('Inventory - P12'!$I$16:$I$27,(INT((X26-1)/4)+1)))</f>
        <v/>
      </c>
      <c r="H26" s="19" t="str">
        <f t="array" ref="H26">IF(X26="","",INDEX('Inventory - P12'!$J$16:$J$27,(INT((X26-1)/4)+1)))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19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P12'!$D$16:$D$27,(INT((X27-1)/4)+1)))</f>
        <v/>
      </c>
      <c r="F27" s="19" t="str">
        <f t="array" ref="F27">IF(X27="","",INDEX('Inventory - P12'!$E$16:$E$27,(INT((X27-1)/4)+1)))</f>
        <v/>
      </c>
      <c r="G27" s="19" t="str">
        <f t="array" ref="G27">IF(X27="","",INDEX('Inventory - P12'!$I$16:$I$27,(INT((X27-1)/4)+1)))</f>
        <v/>
      </c>
      <c r="H27" s="19" t="str">
        <f t="array" ref="H27">IF(X27="","",INDEX('Inventory - P12'!$J$16:$J$27,(INT((X27-1)/4)+1)))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19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P12'!$D$16:$D$27,(INT((X28-1)/4)+1)))</f>
        <v/>
      </c>
      <c r="F28" s="19" t="str">
        <f t="array" ref="F28">IF(X28="","",INDEX('Inventory - P12'!$E$16:$E$27,(INT((X28-1)/4)+1)))</f>
        <v/>
      </c>
      <c r="G28" s="19" t="str">
        <f t="array" ref="G28">IF(X28="","",INDEX('Inventory - P12'!$I$16:$I$27,(INT((X28-1)/4)+1)))</f>
        <v/>
      </c>
      <c r="H28" s="19" t="str">
        <f t="array" ref="H28">IF(X28="","",INDEX('Inventory - P12'!$J$16:$J$27,(INT((X28-1)/4)+1)))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19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P12'!$D$16:$D$27,(INT((X29-1)/4)+1)))</f>
        <v/>
      </c>
      <c r="F29" s="19" t="str">
        <f t="array" ref="F29">IF(X29="","",INDEX('Inventory - P12'!$E$16:$E$27,(INT((X29-1)/4)+1)))</f>
        <v/>
      </c>
      <c r="G29" s="19" t="str">
        <f t="array" ref="G29">IF(X29="","",INDEX('Inventory - P12'!$I$16:$I$27,(INT((X29-1)/4)+1)))</f>
        <v/>
      </c>
      <c r="H29" s="19" t="str">
        <f t="array" ref="H29">IF(X29="","",INDEX('Inventory - P12'!$J$16:$J$27,(INT((X29-1)/4)+1)))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19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P12'!$D$16:$D$27,(INT((X30-1)/4)+1)))</f>
        <v/>
      </c>
      <c r="F30" s="19" t="str">
        <f t="array" ref="F30">IF(X30="","",INDEX('Inventory - P12'!$E$16:$E$27,(INT((X30-1)/4)+1)))</f>
        <v/>
      </c>
      <c r="G30" s="19" t="str">
        <f t="array" ref="G30">IF(X30="","",INDEX('Inventory - P12'!$I$16:$I$27,(INT((X30-1)/4)+1)))</f>
        <v/>
      </c>
      <c r="H30" s="19" t="str">
        <f t="array" ref="H30">IF(X30="","",INDEX('Inventory - P12'!$J$16:$J$27,(INT((X30-1)/4)+1)))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19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P12'!$D$16:$D$27,(INT((X31-1)/4)+1)))</f>
        <v/>
      </c>
      <c r="F31" s="19" t="str">
        <f t="array" ref="F31">IF(X31="","",INDEX('Inventory - P12'!$E$16:$E$27,(INT((X31-1)/4)+1)))</f>
        <v/>
      </c>
      <c r="G31" s="19" t="str">
        <f t="array" ref="G31">IF(X31="","",INDEX('Inventory - P12'!$I$16:$I$27,(INT((X31-1)/4)+1)))</f>
        <v/>
      </c>
      <c r="H31" s="19" t="str">
        <f t="array" ref="H31">IF(X31="","",INDEX('Inventory - P12'!$J$16:$J$27,(INT((X31-1)/4)+1)))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19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P12'!$D$16:$D$27,(INT((X32-1)/4)+1)))</f>
        <v/>
      </c>
      <c r="F32" s="19" t="str">
        <f t="array" ref="F32">IF(X32="","",INDEX('Inventory - P12'!$E$16:$E$27,(INT((X32-1)/4)+1)))</f>
        <v/>
      </c>
      <c r="G32" s="19" t="str">
        <f t="array" ref="G32">IF(X32="","",INDEX('Inventory - P12'!$I$16:$I$27,(INT((X32-1)/4)+1)))</f>
        <v/>
      </c>
      <c r="H32" s="19" t="str">
        <f t="array" ref="H32">IF(X32="","",INDEX('Inventory - P12'!$J$16:$J$27,(INT((X32-1)/4)+1)))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19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P12'!$D$16:$D$27,(INT((X33-1)/4)+1)))</f>
        <v/>
      </c>
      <c r="F33" s="19" t="str">
        <f t="array" ref="F33">IF(X33="","",INDEX('Inventory - P12'!$E$16:$E$27,(INT((X33-1)/4)+1)))</f>
        <v/>
      </c>
      <c r="G33" s="19" t="str">
        <f t="array" ref="G33">IF(X33="","",INDEX('Inventory - P12'!$I$16:$I$27,(INT((X33-1)/4)+1)))</f>
        <v/>
      </c>
      <c r="H33" s="19" t="str">
        <f t="array" ref="H33">IF(X33="","",INDEX('Inventory - P12'!$J$16:$J$27,(INT((X33-1)/4)+1)))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19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P12'!$D$16:$D$27,(INT((X34-1)/4)+1)))</f>
        <v/>
      </c>
      <c r="F34" s="19" t="str">
        <f t="array" ref="F34">IF(X34="","",INDEX('Inventory - P12'!$E$16:$E$27,(INT((X34-1)/4)+1)))</f>
        <v/>
      </c>
      <c r="G34" s="19" t="str">
        <f t="array" ref="G34">IF(X34="","",INDEX('Inventory - P12'!$I$16:$I$27,(INT((X34-1)/4)+1)))</f>
        <v/>
      </c>
      <c r="H34" s="19" t="str">
        <f t="array" ref="H34">IF(X34="","",INDEX('Inventory - P12'!$J$16:$J$27,(INT((X34-1)/4)+1)))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19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P12'!$D$16:$D$27,(INT((X35-1)/4)+1)))</f>
        <v/>
      </c>
      <c r="F35" s="19" t="str">
        <f t="array" ref="F35">IF(X35="","",INDEX('Inventory - P12'!$E$16:$E$27,(INT((X35-1)/4)+1)))</f>
        <v/>
      </c>
      <c r="G35" s="19" t="str">
        <f t="array" ref="G35">IF(X35="","",INDEX('Inventory - P12'!$I$16:$I$27,(INT((X35-1)/4)+1)))</f>
        <v/>
      </c>
      <c r="H35" s="19" t="str">
        <f t="array" ref="H35">IF(X35="","",INDEX('Inventory - P12'!$J$16:$J$27,(INT((X35-1)/4)+1)))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19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P12'!$D$16:$D$27,(INT((X37-1)/4)+1)))</f>
        <v/>
      </c>
      <c r="F37" s="19" t="str">
        <f t="array" ref="F37">IF(X37="","",INDEX('Inventory - P12'!$E$16:$E$27,(INT((X37-1)/4)+1)))</f>
        <v/>
      </c>
      <c r="G37" s="19" t="str">
        <f t="array" ref="G37">IF(X37="","",INDEX('Inventory - P12'!$I$16:$I$27,(INT((X37-1)/4)+1)))</f>
        <v/>
      </c>
      <c r="H37" s="19" t="str">
        <f t="array" ref="H37">IF(X37="","",INDEX('Inventory - P12'!$J$16:$J$27,(INT((X37-1)/4)+1)))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19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P12'!$D$16:$D$27,(INT((X38-1)/4)+1)))</f>
        <v/>
      </c>
      <c r="F38" s="19" t="str">
        <f t="array" ref="F38">IF(X38="","",INDEX('Inventory - P12'!$E$16:$E$27,(INT((X38-1)/4)+1)))</f>
        <v/>
      </c>
      <c r="G38" s="19" t="str">
        <f t="array" ref="G38">IF(X38="","",INDEX('Inventory - P12'!$I$16:$I$27,(INT((X38-1)/4)+1)))</f>
        <v/>
      </c>
      <c r="H38" s="19" t="str">
        <f t="array" ref="H38">IF(X38="","",INDEX('Inventory - P12'!$J$16:$J$27,(INT((X38-1)/4)+1)))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19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P12'!$D$16:$D$27,(INT((X39-1)/4)+1)))</f>
        <v/>
      </c>
      <c r="F39" s="19" t="str">
        <f t="array" ref="F39">IF(X39="","",INDEX('Inventory - P12'!$E$16:$E$27,(INT((X39-1)/4)+1)))</f>
        <v/>
      </c>
      <c r="G39" s="19" t="str">
        <f t="array" ref="G39">IF(X39="","",INDEX('Inventory - P12'!$I$16:$I$27,(INT((X39-1)/4)+1)))</f>
        <v/>
      </c>
      <c r="H39" s="19" t="str">
        <f t="array" ref="H39">IF(X39="","",INDEX('Inventory - P12'!$J$16:$J$27,(INT((X39-1)/4)+1)))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19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P12'!$D$16:$D$27,(INT((X40-1)/4)+1)))</f>
        <v/>
      </c>
      <c r="F40" s="19" t="str">
        <f t="array" ref="F40">IF(X40="","",INDEX('Inventory - P12'!$E$16:$E$27,(INT((X40-1)/4)+1)))</f>
        <v/>
      </c>
      <c r="G40" s="19" t="str">
        <f t="array" ref="G40">IF(X40="","",INDEX('Inventory - P12'!$I$16:$I$27,(INT((X40-1)/4)+1)))</f>
        <v/>
      </c>
      <c r="H40" s="19" t="str">
        <f t="array" ref="H40">IF(X40="","",INDEX('Inventory - P12'!$J$16:$J$27,(INT((X40-1)/4)+1)))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19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P12'!$D$16:$D$27,(INT((X41-1)/4)+1)))</f>
        <v/>
      </c>
      <c r="F41" s="19" t="str">
        <f t="array" ref="F41">IF(X41="","",INDEX('Inventory - P12'!$E$16:$E$27,(INT((X41-1)/4)+1)))</f>
        <v/>
      </c>
      <c r="G41" s="19" t="str">
        <f t="array" ref="G41">IF(X41="","",INDEX('Inventory - P12'!$I$16:$I$27,(INT((X41-1)/4)+1)))</f>
        <v/>
      </c>
      <c r="H41" s="19" t="str">
        <f t="array" ref="H41">IF(X41="","",INDEX('Inventory - P12'!$J$16:$J$27,(INT((X41-1)/4)+1)))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19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P12'!$D$16:$D$27,(INT((X42-1)/4)+1)))</f>
        <v/>
      </c>
      <c r="F42" s="19" t="str">
        <f t="array" ref="F42">IF(X42="","",INDEX('Inventory - P12'!$E$16:$E$27,(INT((X42-1)/4)+1)))</f>
        <v/>
      </c>
      <c r="G42" s="19" t="str">
        <f t="array" ref="G42">IF(X42="","",INDEX('Inventory - P12'!$I$16:$I$27,(INT((X42-1)/4)+1)))</f>
        <v/>
      </c>
      <c r="H42" s="19" t="str">
        <f t="array" ref="H42">IF(X42="","",INDEX('Inventory - P12'!$J$16:$J$27,(INT((X42-1)/4)+1)))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19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P12'!$D$16:$D$27,(INT((X43-1)/4)+1)))</f>
        <v/>
      </c>
      <c r="F43" s="19" t="str">
        <f t="array" ref="F43">IF(X43="","",INDEX('Inventory - P12'!$E$16:$E$27,(INT((X43-1)/4)+1)))</f>
        <v/>
      </c>
      <c r="G43" s="19" t="str">
        <f t="array" ref="G43">IF(X43="","",INDEX('Inventory - P12'!$I$16:$I$27,(INT((X43-1)/4)+1)))</f>
        <v/>
      </c>
      <c r="H43" s="19" t="str">
        <f t="array" ref="H43">IF(X43="","",INDEX('Inventory - P12'!$J$16:$J$27,(INT((X43-1)/4)+1)))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19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P12'!$D$16:$D$27,(INT((X44-1)/4)+1)))</f>
        <v/>
      </c>
      <c r="F44" s="19" t="str">
        <f t="array" ref="F44">IF(X44="","",INDEX('Inventory - P12'!$E$16:$E$27,(INT((X44-1)/4)+1)))</f>
        <v/>
      </c>
      <c r="G44" s="19" t="str">
        <f t="array" ref="G44">IF(X44="","",INDEX('Inventory - P12'!$I$16:$I$27,(INT((X44-1)/4)+1)))</f>
        <v/>
      </c>
      <c r="H44" s="19" t="str">
        <f t="array" ref="H44">IF(X44="","",INDEX('Inventory - P12'!$J$16:$J$27,(INT((X44-1)/4)+1)))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19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P12'!$D$16:$D$27,(INT((X45-1)/4)+1)))</f>
        <v/>
      </c>
      <c r="F45" s="19" t="str">
        <f t="array" ref="F45">IF(X45="","",INDEX('Inventory - P12'!$E$16:$E$27,(INT((X45-1)/4)+1)))</f>
        <v/>
      </c>
      <c r="G45" s="19" t="str">
        <f t="array" ref="G45">IF(X45="","",INDEX('Inventory - P12'!$I$16:$I$27,(INT((X45-1)/4)+1)))</f>
        <v/>
      </c>
      <c r="H45" s="19" t="str">
        <f t="array" ref="H45">IF(X45="","",INDEX('Inventory - P12'!$J$16:$J$27,(INT((X45-1)/4)+1)))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19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P12'!$D$16:$D$27,(INT((X46-1)/4)+1)))</f>
        <v/>
      </c>
      <c r="F46" s="19" t="str">
        <f t="array" ref="F46">IF(X46="","",INDEX('Inventory - P12'!$E$16:$E$27,(INT((X46-1)/4)+1)))</f>
        <v/>
      </c>
      <c r="G46" s="19" t="str">
        <f t="array" ref="G46">IF(X46="","",INDEX('Inventory - P12'!$I$16:$I$27,(INT((X46-1)/4)+1)))</f>
        <v/>
      </c>
      <c r="H46" s="19" t="str">
        <f t="array" ref="H46">IF(X46="","",INDEX('Inventory - P12'!$J$16:$J$27,(INT((X46-1)/4)+1)))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19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P12'!$D$16:$D$27,(INT((X47-1)/4)+1)))</f>
        <v/>
      </c>
      <c r="F47" s="19" t="str">
        <f t="array" ref="F47">IF(X47="","",INDEX('Inventory - P12'!$E$16:$E$27,(INT((X47-1)/4)+1)))</f>
        <v/>
      </c>
      <c r="G47" s="19" t="str">
        <f t="array" ref="G47">IF(X47="","",INDEX('Inventory - P12'!$I$16:$I$27,(INT((X47-1)/4)+1)))</f>
        <v/>
      </c>
      <c r="H47" s="19" t="str">
        <f t="array" ref="H47">IF(X47="","",INDEX('Inventory - P12'!$J$16:$J$27,(INT((X47-1)/4)+1)))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19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P12'!$D$16:$D$27,(INT((X48-1)/4)+1)))</f>
        <v/>
      </c>
      <c r="F48" s="19" t="str">
        <f t="array" ref="F48">IF(X48="","",INDEX('Inventory - P12'!$E$16:$E$27,(INT((X48-1)/4)+1)))</f>
        <v/>
      </c>
      <c r="G48" s="19" t="str">
        <f t="array" ref="G48">IF(X48="","",INDEX('Inventory - P12'!$I$16:$I$27,(INT((X48-1)/4)+1)))</f>
        <v/>
      </c>
      <c r="H48" s="19" t="str">
        <f t="array" ref="H48">IF(X48="","",INDEX('Inventory - P12'!$J$16:$J$27,(INT((X48-1)/4)+1)))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19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P12'!$D$16:$D$27,(INT((X50-1)/4)+1)))</f>
        <v/>
      </c>
      <c r="F50" s="19" t="str">
        <f t="array" ref="F50">IF(X50="","",INDEX('Inventory - P12'!$E$16:$E$27,(INT((X50-1)/4)+1)))</f>
        <v/>
      </c>
      <c r="G50" s="19" t="str">
        <f t="array" ref="G50">IF(X50="","",INDEX('Inventory - P12'!$I$16:$I$27,(INT((X50-1)/4)+1)))</f>
        <v/>
      </c>
      <c r="H50" s="19" t="str">
        <f t="array" ref="H50">IF(X50="","",INDEX('Inventory - P12'!$J$16:$J$27,(INT((X50-1)/4)+1)))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19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P12'!$D$16:$D$27,(INT((X51-1)/4)+1)))</f>
        <v/>
      </c>
      <c r="F51" s="19" t="str">
        <f t="array" ref="F51">IF(X51="","",INDEX('Inventory - P12'!$E$16:$E$27,(INT((X51-1)/4)+1)))</f>
        <v/>
      </c>
      <c r="G51" s="19" t="str">
        <f t="array" ref="G51">IF(X51="","",INDEX('Inventory - P12'!$I$16:$I$27,(INT((X51-1)/4)+1)))</f>
        <v/>
      </c>
      <c r="H51" s="19" t="str">
        <f t="array" ref="H51">IF(X51="","",INDEX('Inventory - P12'!$J$16:$J$27,(INT((X51-1)/4)+1)))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19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P12'!$D$16:$D$27,(INT((X52-1)/4)+1)))</f>
        <v/>
      </c>
      <c r="F52" s="19" t="str">
        <f t="array" ref="F52">IF(X52="","",INDEX('Inventory - P12'!$E$16:$E$27,(INT((X52-1)/4)+1)))</f>
        <v/>
      </c>
      <c r="G52" s="19" t="str">
        <f t="array" ref="G52">IF(X52="","",INDEX('Inventory - P12'!$I$16:$I$27,(INT((X52-1)/4)+1)))</f>
        <v/>
      </c>
      <c r="H52" s="19" t="str">
        <f t="array" ref="H52">IF(X52="","",INDEX('Inventory - P12'!$J$16:$J$27,(INT((X52-1)/4)+1)))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19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P12'!$D$16:$D$27,(INT((X53-1)/4)+1)))</f>
        <v/>
      </c>
      <c r="F53" s="19" t="str">
        <f t="array" ref="F53">IF(X53="","",INDEX('Inventory - P12'!$E$16:$E$27,(INT((X53-1)/4)+1)))</f>
        <v/>
      </c>
      <c r="G53" s="19" t="str">
        <f t="array" ref="G53">IF(X53="","",INDEX('Inventory - P12'!$I$16:$I$27,(INT((X53-1)/4)+1)))</f>
        <v/>
      </c>
      <c r="H53" s="19" t="str">
        <f t="array" ref="H53">IF(X53="","",INDEX('Inventory - P12'!$J$16:$J$27,(INT((X53-1)/4)+1)))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19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P12'!$D$16:$D$27,(INT((X54-1)/4)+1)))</f>
        <v/>
      </c>
      <c r="F54" s="19" t="str">
        <f t="array" ref="F54">IF(X54="","",INDEX('Inventory - P12'!$E$16:$E$27,(INT((X54-1)/4)+1)))</f>
        <v/>
      </c>
      <c r="G54" s="19" t="str">
        <f t="array" ref="G54">IF(X54="","",INDEX('Inventory - P12'!$I$16:$I$27,(INT((X54-1)/4)+1)))</f>
        <v/>
      </c>
      <c r="H54" s="19" t="str">
        <f t="array" ref="H54">IF(X54="","",INDEX('Inventory - P12'!$J$16:$J$27,(INT((X54-1)/4)+1)))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19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P12'!$D$16:$D$27,(INT((X55-1)/4)+1)))</f>
        <v/>
      </c>
      <c r="F55" s="19" t="str">
        <f t="array" ref="F55">IF(X55="","",INDEX('Inventory - P12'!$E$16:$E$27,(INT((X55-1)/4)+1)))</f>
        <v/>
      </c>
      <c r="G55" s="19" t="str">
        <f t="array" ref="G55">IF(X55="","",INDEX('Inventory - P12'!$I$16:$I$27,(INT((X55-1)/4)+1)))</f>
        <v/>
      </c>
      <c r="H55" s="19" t="str">
        <f t="array" ref="H55">IF(X55="","",INDEX('Inventory - P12'!$J$16:$J$27,(INT((X55-1)/4)+1)))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19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P12'!$D$16:$D$27,(INT((X56-1)/4)+1)))</f>
        <v/>
      </c>
      <c r="F56" s="19" t="str">
        <f t="array" ref="F56">IF(X56="","",INDEX('Inventory - P12'!$E$16:$E$27,(INT((X56-1)/4)+1)))</f>
        <v/>
      </c>
      <c r="G56" s="19" t="str">
        <f t="array" ref="G56">IF(X56="","",INDEX('Inventory - P12'!$I$16:$I$27,(INT((X56-1)/4)+1)))</f>
        <v/>
      </c>
      <c r="H56" s="19" t="str">
        <f t="array" ref="H56">IF(X56="","",INDEX('Inventory - P12'!$J$16:$J$27,(INT((X56-1)/4)+1)))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19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P12'!$D$16:$D$27,(INT((X57-1)/4)+1)))</f>
        <v/>
      </c>
      <c r="F57" s="19" t="str">
        <f t="array" ref="F57">IF(X57="","",INDEX('Inventory - P12'!$E$16:$E$27,(INT((X57-1)/4)+1)))</f>
        <v/>
      </c>
      <c r="G57" s="19" t="str">
        <f t="array" ref="G57">IF(X57="","",INDEX('Inventory - P12'!$I$16:$I$27,(INT((X57-1)/4)+1)))</f>
        <v/>
      </c>
      <c r="H57" s="19" t="str">
        <f t="array" ref="H57">IF(X57="","",INDEX('Inventory - P12'!$J$16:$J$27,(INT((X57-1)/4)+1)))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19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P12'!$D$16:$D$27,(INT((X58-1)/4)+1)))</f>
        <v/>
      </c>
      <c r="F58" s="19" t="str">
        <f t="array" ref="F58">IF(X58="","",INDEX('Inventory - P12'!$E$16:$E$27,(INT((X58-1)/4)+1)))</f>
        <v/>
      </c>
      <c r="G58" s="19" t="str">
        <f t="array" ref="G58">IF(X58="","",INDEX('Inventory - P12'!$I$16:$I$27,(INT((X58-1)/4)+1)))</f>
        <v/>
      </c>
      <c r="H58" s="19" t="str">
        <f t="array" ref="H58">IF(X58="","",INDEX('Inventory - P12'!$J$16:$J$27,(INT((X58-1)/4)+1)))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19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P12'!$D$16:$D$27,(INT((X59-1)/4)+1)))</f>
        <v/>
      </c>
      <c r="F59" s="19" t="str">
        <f t="array" ref="F59">IF(X59="","",INDEX('Inventory - P12'!$E$16:$E$27,(INT((X59-1)/4)+1)))</f>
        <v/>
      </c>
      <c r="G59" s="19" t="str">
        <f t="array" ref="G59">IF(X59="","",INDEX('Inventory - P12'!$I$16:$I$27,(INT((X59-1)/4)+1)))</f>
        <v/>
      </c>
      <c r="H59" s="19" t="str">
        <f t="array" ref="H59">IF(X59="","",INDEX('Inventory - P12'!$J$16:$J$27,(INT((X59-1)/4)+1)))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19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P12'!$D$16:$D$27,(INT((X60-1)/4)+1)))</f>
        <v/>
      </c>
      <c r="F60" s="19" t="str">
        <f t="array" ref="F60">IF(X60="","",INDEX('Inventory - P12'!$E$16:$E$27,(INT((X60-1)/4)+1)))</f>
        <v/>
      </c>
      <c r="G60" s="19" t="str">
        <f t="array" ref="G60">IF(X60="","",INDEX('Inventory - P12'!$I$16:$I$27,(INT((X60-1)/4)+1)))</f>
        <v/>
      </c>
      <c r="H60" s="19" t="str">
        <f t="array" ref="H60">IF(X60="","",INDEX('Inventory - P12'!$J$16:$J$27,(INT((X60-1)/4)+1)))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19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P12'!$D$16:$D$27,(INT((X61-1)/4)+1)))</f>
        <v/>
      </c>
      <c r="F61" s="19" t="str">
        <f t="array" ref="F61">IF(X61="","",INDEX('Inventory - P12'!$E$16:$E$27,(INT((X61-1)/4)+1)))</f>
        <v/>
      </c>
      <c r="G61" s="19" t="str">
        <f t="array" ref="G61">IF(X61="","",INDEX('Inventory - P12'!$I$16:$I$27,(INT((X61-1)/4)+1)))</f>
        <v/>
      </c>
      <c r="H61" s="19" t="str">
        <f t="array" ref="H61">IF(X61="","",INDEX('Inventory - P12'!$J$16:$J$27,(INT((X61-1)/4)+1)))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P12'!E16&lt;1,'Inventory - P12'!F16="",'Inventory - P12'!G16=""),9,MOD('Inventory - P12'!F16+0*'Inventory - P12'!G16/24,1))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P12'!E16&lt;2,'Inventory - P12'!F16="",'Inventory - P12'!G16=""),9,MOD('Inventory - P12'!F16+1*'Inventory - P12'!G16/24,1))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P12'!E16&lt;3,'Inventory - P12'!F16="",'Inventory - P12'!G16=""),9,MOD('Inventory - P12'!F16+2*'Inventory - P12'!G16/24,1))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P12'!E16&lt;4,'Inventory - P12'!F16="",'Inventory - P12'!G16=""),9,MOD('Inventory - P12'!F16+3*'Inventory - P12'!G16/24,1))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P12'!E17&lt;1,'Inventory - P12'!F17="",'Inventory - P12'!G17=""),9,MOD('Inventory - P12'!F17+0*'Inventory - P12'!G17/24,1))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P12'!E17&lt;2,'Inventory - P12'!F17="",'Inventory - P12'!G17=""),9,MOD('Inventory - P12'!F17+1*'Inventory - P12'!G17/24,1))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P12'!E17&lt;3,'Inventory - P12'!F17="",'Inventory - P12'!G17=""),9,MOD('Inventory - P12'!F17+2*'Inventory - P12'!G17/24,1))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P12'!E17&lt;4,'Inventory - P12'!F17="",'Inventory - P12'!G17=""),9,MOD('Inventory - P12'!F17+3*'Inventory - P12'!G17/24,1))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P12'!E18&lt;1,'Inventory - P12'!F18="",'Inventory - P12'!G18=""),9,MOD('Inventory - P12'!F18+0*'Inventory - P12'!G18/24,1))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P12'!E18&lt;2,'Inventory - P12'!F18="",'Inventory - P12'!G18=""),9,MOD('Inventory - P12'!F18+1*'Inventory - P12'!G18/24,1))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P12'!E18&lt;3,'Inventory - P12'!F18="",'Inventory - P12'!G18=""),9,MOD('Inventory - P12'!F18+2*'Inventory - P12'!G18/24,1))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P12'!E18&lt;4,'Inventory - P12'!F18="",'Inventory - P12'!G18=""),9,MOD('Inventory - P12'!F18+3*'Inventory - P12'!G18/24,1))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P12'!E19&lt;1,'Inventory - P12'!F19="",'Inventory - P12'!G19=""),9,MOD('Inventory - P12'!F19+0*'Inventory - P12'!G19/24,1))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P12'!E19&lt;2,'Inventory - P12'!F19="",'Inventory - P12'!G19=""),9,MOD('Inventory - P12'!F19+1*'Inventory - P12'!G19/24,1))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P12'!E19&lt;3,'Inventory - P12'!F19="",'Inventory - P12'!G19=""),9,MOD('Inventory - P12'!F19+2*'Inventory - P12'!G19/24,1))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P12'!E19&lt;4,'Inventory - P12'!F19="",'Inventory - P12'!G19=""),9,MOD('Inventory - P12'!F19+3*'Inventory - P12'!G19/24,1))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P12'!E20&lt;1,'Inventory - P12'!F20="",'Inventory - P12'!G20=""),9,MOD('Inventory - P12'!F20+0*'Inventory - P12'!G20/24,1))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P12'!E20&lt;2,'Inventory - P12'!F20="",'Inventory - P12'!G20=""),9,MOD('Inventory - P12'!F20+1*'Inventory - P12'!G20/24,1))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P12'!E20&lt;3,'Inventory - P12'!F20="",'Inventory - P12'!G20=""),9,MOD('Inventory - P12'!F20+2*'Inventory - P12'!G20/24,1))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P12'!E20&lt;4,'Inventory - P12'!F20="",'Inventory - P12'!G20=""),9,MOD('Inventory - P12'!F20+3*'Inventory - P12'!G20/24,1))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P12'!E21&lt;1,'Inventory - P12'!F21="",'Inventory - P12'!G21=""),9,MOD('Inventory - P12'!F21+0*'Inventory - P12'!G21/24,1))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P12'!E21&lt;2,'Inventory - P12'!F21="",'Inventory - P12'!G21=""),9,MOD('Inventory - P12'!F21+1*'Inventory - P12'!G21/24,1))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P12'!E21&lt;3,'Inventory - P12'!F21="",'Inventory - P12'!G21=""),9,MOD('Inventory - P12'!F21+2*'Inventory - P12'!G21/24,1))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P12'!E21&lt;4,'Inventory - P12'!F21="",'Inventory - P12'!G21=""),9,MOD('Inventory - P12'!F21+3*'Inventory - P12'!G21/24,1))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P12'!E22&lt;1,'Inventory - P12'!F22="",'Inventory - P12'!G22=""),9,MOD('Inventory - P12'!F22+0*'Inventory - P12'!G22/24,1))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P12'!E22&lt;2,'Inventory - P12'!F22="",'Inventory - P12'!G22=""),9,MOD('Inventory - P12'!F22+1*'Inventory - P12'!G22/24,1))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P12'!E22&lt;3,'Inventory - P12'!F22="",'Inventory - P12'!G22=""),9,MOD('Inventory - P12'!F22+2*'Inventory - P12'!G22/24,1))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P12'!E22&lt;4,'Inventory - P12'!F22="",'Inventory - P12'!G22=""),9,MOD('Inventory - P12'!F22+3*'Inventory - P12'!G22/24,1))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P12'!E23&lt;1,'Inventory - P12'!F23="",'Inventory - P12'!G23=""),9,MOD('Inventory - P12'!F23+0*'Inventory - P12'!G23/24,1))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P12'!E23&lt;2,'Inventory - P12'!F23="",'Inventory - P12'!G23=""),9,MOD('Inventory - P12'!F23+1*'Inventory - P12'!G23/24,1))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P12'!E23&lt;3,'Inventory - P12'!F23="",'Inventory - P12'!G23=""),9,MOD('Inventory - P12'!F23+2*'Inventory - P12'!G23/24,1))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P12'!E23&lt;4,'Inventory - P12'!F23="",'Inventory - P12'!G23=""),9,MOD('Inventory - P12'!F23+3*'Inventory - P12'!G23/24,1))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P12'!E24&lt;1,'Inventory - P12'!F24="",'Inventory - P12'!G24=""),9,MOD('Inventory - P12'!F24+0*'Inventory - P12'!G24/24,1))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P12'!E24&lt;2,'Inventory - P12'!F24="",'Inventory - P12'!G24=""),9,MOD('Inventory - P12'!F24+1*'Inventory - P12'!G24/24,1))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P12'!E24&lt;3,'Inventory - P12'!F24="",'Inventory - P12'!G24=""),9,MOD('Inventory - P12'!F24+2*'Inventory - P12'!G24/24,1))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P12'!E24&lt;4,'Inventory - P12'!F24="",'Inventory - P12'!G24=""),9,MOD('Inventory - P12'!F24+3*'Inventory - P12'!G24/24,1))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P12'!E25&lt;1,'Inventory - P12'!F25="",'Inventory - P12'!G25=""),9,MOD('Inventory - P12'!F25+0*'Inventory - P12'!G25/24,1))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P12'!E25&lt;2,'Inventory - P12'!F25="",'Inventory - P12'!G25=""),9,MOD('Inventory - P12'!F25+1*'Inventory - P12'!G25/24,1))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P12'!E25&lt;3,'Inventory - P12'!F25="",'Inventory - P12'!G25=""),9,MOD('Inventory - P12'!F25+2*'Inventory - P12'!G25/24,1))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P12'!E25&lt;4,'Inventory - P12'!F25="",'Inventory - P12'!G25=""),9,MOD('Inventory - P12'!F25+3*'Inventory - P12'!G25/24,1))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P12'!E26&lt;1,'Inventory - P12'!F26="",'Inventory - P12'!G26=""),9,MOD('Inventory - P12'!F26+0*'Inventory - P12'!G26/24,1))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P12'!E26&lt;2,'Inventory - P12'!F26="",'Inventory - P12'!G26=""),9,MOD('Inventory - P12'!F26+1*'Inventory - P12'!G26/24,1))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P12'!E26&lt;3,'Inventory - P12'!F26="",'Inventory - P12'!G26=""),9,MOD('Inventory - P12'!F26+2*'Inventory - P12'!G26/24,1))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P12'!E26&lt;4,'Inventory - P12'!F26="",'Inventory - P12'!G26=""),9,MOD('Inventory - P12'!F26+3*'Inventory - P12'!G26/24,1))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P12'!E27&lt;1,'Inventory - P12'!F27="",'Inventory - P12'!G27=""),9,MOD('Inventory - P12'!F27+0*'Inventory - P12'!G27/24,1))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P12'!E27&lt;2,'Inventory - P12'!F27="",'Inventory - P12'!G27=""),9,MOD('Inventory - P12'!F27+1*'Inventory - P12'!G27/24,1))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P12'!E27&lt;3,'Inventory - P12'!F27="",'Inventory - P12'!G27=""),9,MOD('Inventory - P12'!F27+2*'Inventory - P12'!G27/24,1))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P12'!E27&lt;4,'Inventory - P12'!F27="",'Inventory - P12'!G27=""),9,MOD('Inventory - P12'!F27+3*'Inventory - P12'!G27/24,1))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Tracker'!S17="","","INV-"&amp;SUBSTITUTE('Client Needs Tracker'!S17," ",""))</f>
        <v>INV-F-3A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Tracker'!B17="","(Add client on Client Needs Tracker, row 17)",'Client Needs Tracker'!B17)</f>
        <v>(Add client on Client Needs Tracker, row 17)</v>
      </c>
      <c r="B6" s="104"/>
      <c r="C6" s="104"/>
      <c r="D6" s="104"/>
      <c r="E6" s="104"/>
      <c r="F6" s="105" t="str">
        <f>'Client Needs Tracker'!A17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Tracker'!C17="","",'Client Needs Tracker'!C17)</f>
        <v/>
      </c>
      <c r="B8" s="104"/>
      <c r="C8" s="104"/>
      <c r="D8" s="104"/>
      <c r="E8" s="104"/>
      <c r="F8" s="108" t="str">
        <f>'Client Needs Tracker'!E17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Tracker'!F17="","",'Client Needs Tracker'!F17)</f>
        <v/>
      </c>
      <c r="B10" s="104"/>
      <c r="C10" s="104"/>
      <c r="D10" s="104"/>
      <c r="E10" s="104"/>
      <c r="F10" s="110" t="str">
        <f>IF('Client Status Board'!G17="","",'Client Status Board'!G17)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Board'!L17="","",'Client Status Board'!L17)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/>
      </c>
    </row>
    <row r="3" ht="15.0" customHeight="1">
      <c r="A3" s="130" t="str">
        <f>IF('Inventory - P13'!A6="","(Enter name in Inventory - P13)",'Inventory - P13'!A6)</f>
        <v>(Add client on Client Needs Tracker, row 17)</v>
      </c>
      <c r="B3" s="131"/>
      <c r="C3" s="131"/>
      <c r="D3" s="131"/>
      <c r="E3" s="131"/>
      <c r="F3" s="132" t="str">
        <f>IF('Inventory - P13'!F6="","(Enter ID in Inventory - P13)","Member ID: "&amp;'Inventory - P13'!F6)</f>
        <v>(Enter ID in Inventory - P13)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Tracker'!S17="","","INV-"&amp;SUBSTITUTE('Client Needs Tracker'!S17," ",""))</f>
        <v>INV-F-3A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P13'!F8="","-",'Inventory - P13'!F8)</f>
        <v>LOC: -</v>
      </c>
      <c r="C5" s="3"/>
      <c r="D5" s="134" t="str">
        <f>"Case Manager: "&amp;IF('Inventory - P13'!A10="","-",'Inventory - P13'!A10)</f>
        <v>Case Manager: -</v>
      </c>
      <c r="F5" s="3"/>
      <c r="G5" s="134" t="str">
        <f>"Doctor: "&amp;IF('Inventory - P13'!F10="","-",'Inventory - P13'!F10)</f>
        <v>Doctor: -</v>
      </c>
      <c r="I5" s="3"/>
      <c r="J5" s="134" t="str">
        <f>"Pharmacy: "&amp;IF('Inventory - P13'!A12="","-",'Inventory - P13'!A12)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P13'!A14="","",'Inventory - P13'!A14)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P13'!A14="","",'Inventory - P13'!A14+0)</f>
        <v/>
      </c>
      <c r="J8" s="139"/>
      <c r="K8" s="138" t="str">
        <f>IF('Inventory - P13'!A14="","",'Inventory - P13'!A14+1)</f>
        <v/>
      </c>
      <c r="L8" s="139"/>
      <c r="M8" s="138" t="str">
        <f>IF('Inventory - P13'!A14="","",'Inventory - P13'!A14+2)</f>
        <v/>
      </c>
      <c r="N8" s="139"/>
      <c r="O8" s="138" t="str">
        <f>IF('Inventory - P13'!A14="","",'Inventory - P13'!A14+3)</f>
        <v/>
      </c>
      <c r="P8" s="139"/>
      <c r="Q8" s="138" t="str">
        <f>IF('Inventory - P13'!A14="","",'Inventory - P13'!A14+4)</f>
        <v/>
      </c>
      <c r="R8" s="139"/>
      <c r="S8" s="138" t="str">
        <f>IF('Inventory - P13'!A14="","",'Inventory - P13'!A14+5)</f>
        <v/>
      </c>
      <c r="T8" s="139"/>
      <c r="U8" s="138" t="str">
        <f>IF('Inventory - P13'!A14="","",'Inventory - P13'!A14+6)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19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P13'!$D$16:$D$27,(INT((X11-1)/4)+1)))</f>
        <v/>
      </c>
      <c r="F11" s="19" t="str">
        <f t="array" ref="F11">IF(X11="","",INDEX('Inventory - P13'!$E$16:$E$27,(INT((X11-1)/4)+1)))</f>
        <v/>
      </c>
      <c r="G11" s="19" t="str">
        <f t="array" ref="G11">IF(X11="","",INDEX('Inventory - P13'!$I$16:$I$27,(INT((X11-1)/4)+1)))</f>
        <v/>
      </c>
      <c r="H11" s="19" t="str">
        <f t="array" ref="H11">IF(X11="","",INDEX('Inventory - P13'!$J$16:$J$27,(INT((X11-1)/4)+1)))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19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P13'!$D$16:$D$27,(INT((X12-1)/4)+1)))</f>
        <v/>
      </c>
      <c r="F12" s="19" t="str">
        <f t="array" ref="F12">IF(X12="","",INDEX('Inventory - P13'!$E$16:$E$27,(INT((X12-1)/4)+1)))</f>
        <v/>
      </c>
      <c r="G12" s="19" t="str">
        <f t="array" ref="G12">IF(X12="","",INDEX('Inventory - P13'!$I$16:$I$27,(INT((X12-1)/4)+1)))</f>
        <v/>
      </c>
      <c r="H12" s="19" t="str">
        <f t="array" ref="H12">IF(X12="","",INDEX('Inventory - P13'!$J$16:$J$27,(INT((X12-1)/4)+1)))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19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P13'!$D$16:$D$27,(INT((X13-1)/4)+1)))</f>
        <v/>
      </c>
      <c r="F13" s="19" t="str">
        <f t="array" ref="F13">IF(X13="","",INDEX('Inventory - P13'!$E$16:$E$27,(INT((X13-1)/4)+1)))</f>
        <v/>
      </c>
      <c r="G13" s="19" t="str">
        <f t="array" ref="G13">IF(X13="","",INDEX('Inventory - P13'!$I$16:$I$27,(INT((X13-1)/4)+1)))</f>
        <v/>
      </c>
      <c r="H13" s="19" t="str">
        <f t="array" ref="H13">IF(X13="","",INDEX('Inventory - P13'!$J$16:$J$27,(INT((X13-1)/4)+1)))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19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P13'!$D$16:$D$27,(INT((X14-1)/4)+1)))</f>
        <v/>
      </c>
      <c r="F14" s="19" t="str">
        <f t="array" ref="F14">IF(X14="","",INDEX('Inventory - P13'!$E$16:$E$27,(INT((X14-1)/4)+1)))</f>
        <v/>
      </c>
      <c r="G14" s="19" t="str">
        <f t="array" ref="G14">IF(X14="","",INDEX('Inventory - P13'!$I$16:$I$27,(INT((X14-1)/4)+1)))</f>
        <v/>
      </c>
      <c r="H14" s="19" t="str">
        <f t="array" ref="H14">IF(X14="","",INDEX('Inventory - P13'!$J$16:$J$27,(INT((X14-1)/4)+1)))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19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P13'!$D$16:$D$27,(INT((X15-1)/4)+1)))</f>
        <v/>
      </c>
      <c r="F15" s="19" t="str">
        <f t="array" ref="F15">IF(X15="","",INDEX('Inventory - P13'!$E$16:$E$27,(INT((X15-1)/4)+1)))</f>
        <v/>
      </c>
      <c r="G15" s="19" t="str">
        <f t="array" ref="G15">IF(X15="","",INDEX('Inventory - P13'!$I$16:$I$27,(INT((X15-1)/4)+1)))</f>
        <v/>
      </c>
      <c r="H15" s="19" t="str">
        <f t="array" ref="H15">IF(X15="","",INDEX('Inventory - P13'!$J$16:$J$27,(INT((X15-1)/4)+1)))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19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P13'!$D$16:$D$27,(INT((X16-1)/4)+1)))</f>
        <v/>
      </c>
      <c r="F16" s="19" t="str">
        <f t="array" ref="F16">IF(X16="","",INDEX('Inventory - P13'!$E$16:$E$27,(INT((X16-1)/4)+1)))</f>
        <v/>
      </c>
      <c r="G16" s="19" t="str">
        <f t="array" ref="G16">IF(X16="","",INDEX('Inventory - P13'!$I$16:$I$27,(INT((X16-1)/4)+1)))</f>
        <v/>
      </c>
      <c r="H16" s="19" t="str">
        <f t="array" ref="H16">IF(X16="","",INDEX('Inventory - P13'!$J$16:$J$27,(INT((X16-1)/4)+1)))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19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P13'!$D$16:$D$27,(INT((X17-1)/4)+1)))</f>
        <v/>
      </c>
      <c r="F17" s="19" t="str">
        <f t="array" ref="F17">IF(X17="","",INDEX('Inventory - P13'!$E$16:$E$27,(INT((X17-1)/4)+1)))</f>
        <v/>
      </c>
      <c r="G17" s="19" t="str">
        <f t="array" ref="G17">IF(X17="","",INDEX('Inventory - P13'!$I$16:$I$27,(INT((X17-1)/4)+1)))</f>
        <v/>
      </c>
      <c r="H17" s="19" t="str">
        <f t="array" ref="H17">IF(X17="","",INDEX('Inventory - P13'!$J$16:$J$27,(INT((X17-1)/4)+1)))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19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P13'!$D$16:$D$27,(INT((X18-1)/4)+1)))</f>
        <v/>
      </c>
      <c r="F18" s="19" t="str">
        <f t="array" ref="F18">IF(X18="","",INDEX('Inventory - P13'!$E$16:$E$27,(INT((X18-1)/4)+1)))</f>
        <v/>
      </c>
      <c r="G18" s="19" t="str">
        <f t="array" ref="G18">IF(X18="","",INDEX('Inventory - P13'!$I$16:$I$27,(INT((X18-1)/4)+1)))</f>
        <v/>
      </c>
      <c r="H18" s="19" t="str">
        <f t="array" ref="H18">IF(X18="","",INDEX('Inventory - P13'!$J$16:$J$27,(INT((X18-1)/4)+1)))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19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P13'!$D$16:$D$27,(INT((X19-1)/4)+1)))</f>
        <v/>
      </c>
      <c r="F19" s="19" t="str">
        <f t="array" ref="F19">IF(X19="","",INDEX('Inventory - P13'!$E$16:$E$27,(INT((X19-1)/4)+1)))</f>
        <v/>
      </c>
      <c r="G19" s="19" t="str">
        <f t="array" ref="G19">IF(X19="","",INDEX('Inventory - P13'!$I$16:$I$27,(INT((X19-1)/4)+1)))</f>
        <v/>
      </c>
      <c r="H19" s="19" t="str">
        <f t="array" ref="H19">IF(X19="","",INDEX('Inventory - P13'!$J$16:$J$27,(INT((X19-1)/4)+1)))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19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P13'!$D$16:$D$27,(INT((X20-1)/4)+1)))</f>
        <v/>
      </c>
      <c r="F20" s="19" t="str">
        <f t="array" ref="F20">IF(X20="","",INDEX('Inventory - P13'!$E$16:$E$27,(INT((X20-1)/4)+1)))</f>
        <v/>
      </c>
      <c r="G20" s="19" t="str">
        <f t="array" ref="G20">IF(X20="","",INDEX('Inventory - P13'!$I$16:$I$27,(INT((X20-1)/4)+1)))</f>
        <v/>
      </c>
      <c r="H20" s="19" t="str">
        <f t="array" ref="H20">IF(X20="","",INDEX('Inventory - P13'!$J$16:$J$27,(INT((X20-1)/4)+1)))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19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P13'!$D$16:$D$27,(INT((X21-1)/4)+1)))</f>
        <v/>
      </c>
      <c r="F21" s="19" t="str">
        <f t="array" ref="F21">IF(X21="","",INDEX('Inventory - P13'!$E$16:$E$27,(INT((X21-1)/4)+1)))</f>
        <v/>
      </c>
      <c r="G21" s="19" t="str">
        <f t="array" ref="G21">IF(X21="","",INDEX('Inventory - P13'!$I$16:$I$27,(INT((X21-1)/4)+1)))</f>
        <v/>
      </c>
      <c r="H21" s="19" t="str">
        <f t="array" ref="H21">IF(X21="","",INDEX('Inventory - P13'!$J$16:$J$27,(INT((X21-1)/4)+1)))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19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P13'!$D$16:$D$27,(INT((X22-1)/4)+1)))</f>
        <v/>
      </c>
      <c r="F22" s="19" t="str">
        <f t="array" ref="F22">IF(X22="","",INDEX('Inventory - P13'!$E$16:$E$27,(INT((X22-1)/4)+1)))</f>
        <v/>
      </c>
      <c r="G22" s="19" t="str">
        <f t="array" ref="G22">IF(X22="","",INDEX('Inventory - P13'!$I$16:$I$27,(INT((X22-1)/4)+1)))</f>
        <v/>
      </c>
      <c r="H22" s="19" t="str">
        <f t="array" ref="H22">IF(X22="","",INDEX('Inventory - P13'!$J$16:$J$27,(INT((X22-1)/4)+1)))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19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P13'!$D$16:$D$27,(INT((X24-1)/4)+1)))</f>
        <v/>
      </c>
      <c r="F24" s="19" t="str">
        <f t="array" ref="F24">IF(X24="","",INDEX('Inventory - P13'!$E$16:$E$27,(INT((X24-1)/4)+1)))</f>
        <v/>
      </c>
      <c r="G24" s="19" t="str">
        <f t="array" ref="G24">IF(X24="","",INDEX('Inventory - P13'!$I$16:$I$27,(INT((X24-1)/4)+1)))</f>
        <v/>
      </c>
      <c r="H24" s="19" t="str">
        <f t="array" ref="H24">IF(X24="","",INDEX('Inventory - P13'!$J$16:$J$27,(INT((X24-1)/4)+1)))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19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P13'!$D$16:$D$27,(INT((X25-1)/4)+1)))</f>
        <v/>
      </c>
      <c r="F25" s="19" t="str">
        <f t="array" ref="F25">IF(X25="","",INDEX('Inventory - P13'!$E$16:$E$27,(INT((X25-1)/4)+1)))</f>
        <v/>
      </c>
      <c r="G25" s="19" t="str">
        <f t="array" ref="G25">IF(X25="","",INDEX('Inventory - P13'!$I$16:$I$27,(INT((X25-1)/4)+1)))</f>
        <v/>
      </c>
      <c r="H25" s="19" t="str">
        <f t="array" ref="H25">IF(X25="","",INDEX('Inventory - P13'!$J$16:$J$27,(INT((X25-1)/4)+1)))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19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P13'!$D$16:$D$27,(INT((X26-1)/4)+1)))</f>
        <v/>
      </c>
      <c r="F26" s="19" t="str">
        <f t="array" ref="F26">IF(X26="","",INDEX('Inventory - P13'!$E$16:$E$27,(INT((X26-1)/4)+1)))</f>
        <v/>
      </c>
      <c r="G26" s="19" t="str">
        <f t="array" ref="G26">IF(X26="","",INDEX('Inventory - P13'!$I$16:$I$27,(INT((X26-1)/4)+1)))</f>
        <v/>
      </c>
      <c r="H26" s="19" t="str">
        <f t="array" ref="H26">IF(X26="","",INDEX('Inventory - P13'!$J$16:$J$27,(INT((X26-1)/4)+1)))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19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P13'!$D$16:$D$27,(INT((X27-1)/4)+1)))</f>
        <v/>
      </c>
      <c r="F27" s="19" t="str">
        <f t="array" ref="F27">IF(X27="","",INDEX('Inventory - P13'!$E$16:$E$27,(INT((X27-1)/4)+1)))</f>
        <v/>
      </c>
      <c r="G27" s="19" t="str">
        <f t="array" ref="G27">IF(X27="","",INDEX('Inventory - P13'!$I$16:$I$27,(INT((X27-1)/4)+1)))</f>
        <v/>
      </c>
      <c r="H27" s="19" t="str">
        <f t="array" ref="H27">IF(X27="","",INDEX('Inventory - P13'!$J$16:$J$27,(INT((X27-1)/4)+1)))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19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P13'!$D$16:$D$27,(INT((X28-1)/4)+1)))</f>
        <v/>
      </c>
      <c r="F28" s="19" t="str">
        <f t="array" ref="F28">IF(X28="","",INDEX('Inventory - P13'!$E$16:$E$27,(INT((X28-1)/4)+1)))</f>
        <v/>
      </c>
      <c r="G28" s="19" t="str">
        <f t="array" ref="G28">IF(X28="","",INDEX('Inventory - P13'!$I$16:$I$27,(INT((X28-1)/4)+1)))</f>
        <v/>
      </c>
      <c r="H28" s="19" t="str">
        <f t="array" ref="H28">IF(X28="","",INDEX('Inventory - P13'!$J$16:$J$27,(INT((X28-1)/4)+1)))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19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P13'!$D$16:$D$27,(INT((X29-1)/4)+1)))</f>
        <v/>
      </c>
      <c r="F29" s="19" t="str">
        <f t="array" ref="F29">IF(X29="","",INDEX('Inventory - P13'!$E$16:$E$27,(INT((X29-1)/4)+1)))</f>
        <v/>
      </c>
      <c r="G29" s="19" t="str">
        <f t="array" ref="G29">IF(X29="","",INDEX('Inventory - P13'!$I$16:$I$27,(INT((X29-1)/4)+1)))</f>
        <v/>
      </c>
      <c r="H29" s="19" t="str">
        <f t="array" ref="H29">IF(X29="","",INDEX('Inventory - P13'!$J$16:$J$27,(INT((X29-1)/4)+1)))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19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P13'!$D$16:$D$27,(INT((X30-1)/4)+1)))</f>
        <v/>
      </c>
      <c r="F30" s="19" t="str">
        <f t="array" ref="F30">IF(X30="","",INDEX('Inventory - P13'!$E$16:$E$27,(INT((X30-1)/4)+1)))</f>
        <v/>
      </c>
      <c r="G30" s="19" t="str">
        <f t="array" ref="G30">IF(X30="","",INDEX('Inventory - P13'!$I$16:$I$27,(INT((X30-1)/4)+1)))</f>
        <v/>
      </c>
      <c r="H30" s="19" t="str">
        <f t="array" ref="H30">IF(X30="","",INDEX('Inventory - P13'!$J$16:$J$27,(INT((X30-1)/4)+1)))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19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P13'!$D$16:$D$27,(INT((X31-1)/4)+1)))</f>
        <v/>
      </c>
      <c r="F31" s="19" t="str">
        <f t="array" ref="F31">IF(X31="","",INDEX('Inventory - P13'!$E$16:$E$27,(INT((X31-1)/4)+1)))</f>
        <v/>
      </c>
      <c r="G31" s="19" t="str">
        <f t="array" ref="G31">IF(X31="","",INDEX('Inventory - P13'!$I$16:$I$27,(INT((X31-1)/4)+1)))</f>
        <v/>
      </c>
      <c r="H31" s="19" t="str">
        <f t="array" ref="H31">IF(X31="","",INDEX('Inventory - P13'!$J$16:$J$27,(INT((X31-1)/4)+1)))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19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P13'!$D$16:$D$27,(INT((X32-1)/4)+1)))</f>
        <v/>
      </c>
      <c r="F32" s="19" t="str">
        <f t="array" ref="F32">IF(X32="","",INDEX('Inventory - P13'!$E$16:$E$27,(INT((X32-1)/4)+1)))</f>
        <v/>
      </c>
      <c r="G32" s="19" t="str">
        <f t="array" ref="G32">IF(X32="","",INDEX('Inventory - P13'!$I$16:$I$27,(INT((X32-1)/4)+1)))</f>
        <v/>
      </c>
      <c r="H32" s="19" t="str">
        <f t="array" ref="H32">IF(X32="","",INDEX('Inventory - P13'!$J$16:$J$27,(INT((X32-1)/4)+1)))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19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P13'!$D$16:$D$27,(INT((X33-1)/4)+1)))</f>
        <v/>
      </c>
      <c r="F33" s="19" t="str">
        <f t="array" ref="F33">IF(X33="","",INDEX('Inventory - P13'!$E$16:$E$27,(INT((X33-1)/4)+1)))</f>
        <v/>
      </c>
      <c r="G33" s="19" t="str">
        <f t="array" ref="G33">IF(X33="","",INDEX('Inventory - P13'!$I$16:$I$27,(INT((X33-1)/4)+1)))</f>
        <v/>
      </c>
      <c r="H33" s="19" t="str">
        <f t="array" ref="H33">IF(X33="","",INDEX('Inventory - P13'!$J$16:$J$27,(INT((X33-1)/4)+1)))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19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P13'!$D$16:$D$27,(INT((X34-1)/4)+1)))</f>
        <v/>
      </c>
      <c r="F34" s="19" t="str">
        <f t="array" ref="F34">IF(X34="","",INDEX('Inventory - P13'!$E$16:$E$27,(INT((X34-1)/4)+1)))</f>
        <v/>
      </c>
      <c r="G34" s="19" t="str">
        <f t="array" ref="G34">IF(X34="","",INDEX('Inventory - P13'!$I$16:$I$27,(INT((X34-1)/4)+1)))</f>
        <v/>
      </c>
      <c r="H34" s="19" t="str">
        <f t="array" ref="H34">IF(X34="","",INDEX('Inventory - P13'!$J$16:$J$27,(INT((X34-1)/4)+1)))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19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P13'!$D$16:$D$27,(INT((X35-1)/4)+1)))</f>
        <v/>
      </c>
      <c r="F35" s="19" t="str">
        <f t="array" ref="F35">IF(X35="","",INDEX('Inventory - P13'!$E$16:$E$27,(INT((X35-1)/4)+1)))</f>
        <v/>
      </c>
      <c r="G35" s="19" t="str">
        <f t="array" ref="G35">IF(X35="","",INDEX('Inventory - P13'!$I$16:$I$27,(INT((X35-1)/4)+1)))</f>
        <v/>
      </c>
      <c r="H35" s="19" t="str">
        <f t="array" ref="H35">IF(X35="","",INDEX('Inventory - P13'!$J$16:$J$27,(INT((X35-1)/4)+1)))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19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P13'!$D$16:$D$27,(INT((X37-1)/4)+1)))</f>
        <v/>
      </c>
      <c r="F37" s="19" t="str">
        <f t="array" ref="F37">IF(X37="","",INDEX('Inventory - P13'!$E$16:$E$27,(INT((X37-1)/4)+1)))</f>
        <v/>
      </c>
      <c r="G37" s="19" t="str">
        <f t="array" ref="G37">IF(X37="","",INDEX('Inventory - P13'!$I$16:$I$27,(INT((X37-1)/4)+1)))</f>
        <v/>
      </c>
      <c r="H37" s="19" t="str">
        <f t="array" ref="H37">IF(X37="","",INDEX('Inventory - P13'!$J$16:$J$27,(INT((X37-1)/4)+1)))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19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P13'!$D$16:$D$27,(INT((X38-1)/4)+1)))</f>
        <v/>
      </c>
      <c r="F38" s="19" t="str">
        <f t="array" ref="F38">IF(X38="","",INDEX('Inventory - P13'!$E$16:$E$27,(INT((X38-1)/4)+1)))</f>
        <v/>
      </c>
      <c r="G38" s="19" t="str">
        <f t="array" ref="G38">IF(X38="","",INDEX('Inventory - P13'!$I$16:$I$27,(INT((X38-1)/4)+1)))</f>
        <v/>
      </c>
      <c r="H38" s="19" t="str">
        <f t="array" ref="H38">IF(X38="","",INDEX('Inventory - P13'!$J$16:$J$27,(INT((X38-1)/4)+1)))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19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P13'!$D$16:$D$27,(INT((X39-1)/4)+1)))</f>
        <v/>
      </c>
      <c r="F39" s="19" t="str">
        <f t="array" ref="F39">IF(X39="","",INDEX('Inventory - P13'!$E$16:$E$27,(INT((X39-1)/4)+1)))</f>
        <v/>
      </c>
      <c r="G39" s="19" t="str">
        <f t="array" ref="G39">IF(X39="","",INDEX('Inventory - P13'!$I$16:$I$27,(INT((X39-1)/4)+1)))</f>
        <v/>
      </c>
      <c r="H39" s="19" t="str">
        <f t="array" ref="H39">IF(X39="","",INDEX('Inventory - P13'!$J$16:$J$27,(INT((X39-1)/4)+1)))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19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P13'!$D$16:$D$27,(INT((X40-1)/4)+1)))</f>
        <v/>
      </c>
      <c r="F40" s="19" t="str">
        <f t="array" ref="F40">IF(X40="","",INDEX('Inventory - P13'!$E$16:$E$27,(INT((X40-1)/4)+1)))</f>
        <v/>
      </c>
      <c r="G40" s="19" t="str">
        <f t="array" ref="G40">IF(X40="","",INDEX('Inventory - P13'!$I$16:$I$27,(INT((X40-1)/4)+1)))</f>
        <v/>
      </c>
      <c r="H40" s="19" t="str">
        <f t="array" ref="H40">IF(X40="","",INDEX('Inventory - P13'!$J$16:$J$27,(INT((X40-1)/4)+1)))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19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P13'!$D$16:$D$27,(INT((X41-1)/4)+1)))</f>
        <v/>
      </c>
      <c r="F41" s="19" t="str">
        <f t="array" ref="F41">IF(X41="","",INDEX('Inventory - P13'!$E$16:$E$27,(INT((X41-1)/4)+1)))</f>
        <v/>
      </c>
      <c r="G41" s="19" t="str">
        <f t="array" ref="G41">IF(X41="","",INDEX('Inventory - P13'!$I$16:$I$27,(INT((X41-1)/4)+1)))</f>
        <v/>
      </c>
      <c r="H41" s="19" t="str">
        <f t="array" ref="H41">IF(X41="","",INDEX('Inventory - P13'!$J$16:$J$27,(INT((X41-1)/4)+1)))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19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P13'!$D$16:$D$27,(INT((X42-1)/4)+1)))</f>
        <v/>
      </c>
      <c r="F42" s="19" t="str">
        <f t="array" ref="F42">IF(X42="","",INDEX('Inventory - P13'!$E$16:$E$27,(INT((X42-1)/4)+1)))</f>
        <v/>
      </c>
      <c r="G42" s="19" t="str">
        <f t="array" ref="G42">IF(X42="","",INDEX('Inventory - P13'!$I$16:$I$27,(INT((X42-1)/4)+1)))</f>
        <v/>
      </c>
      <c r="H42" s="19" t="str">
        <f t="array" ref="H42">IF(X42="","",INDEX('Inventory - P13'!$J$16:$J$27,(INT((X42-1)/4)+1)))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19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P13'!$D$16:$D$27,(INT((X43-1)/4)+1)))</f>
        <v/>
      </c>
      <c r="F43" s="19" t="str">
        <f t="array" ref="F43">IF(X43="","",INDEX('Inventory - P13'!$E$16:$E$27,(INT((X43-1)/4)+1)))</f>
        <v/>
      </c>
      <c r="G43" s="19" t="str">
        <f t="array" ref="G43">IF(X43="","",INDEX('Inventory - P13'!$I$16:$I$27,(INT((X43-1)/4)+1)))</f>
        <v/>
      </c>
      <c r="H43" s="19" t="str">
        <f t="array" ref="H43">IF(X43="","",INDEX('Inventory - P13'!$J$16:$J$27,(INT((X43-1)/4)+1)))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19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P13'!$D$16:$D$27,(INT((X44-1)/4)+1)))</f>
        <v/>
      </c>
      <c r="F44" s="19" t="str">
        <f t="array" ref="F44">IF(X44="","",INDEX('Inventory - P13'!$E$16:$E$27,(INT((X44-1)/4)+1)))</f>
        <v/>
      </c>
      <c r="G44" s="19" t="str">
        <f t="array" ref="G44">IF(X44="","",INDEX('Inventory - P13'!$I$16:$I$27,(INT((X44-1)/4)+1)))</f>
        <v/>
      </c>
      <c r="H44" s="19" t="str">
        <f t="array" ref="H44">IF(X44="","",INDEX('Inventory - P13'!$J$16:$J$27,(INT((X44-1)/4)+1)))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19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P13'!$D$16:$D$27,(INT((X45-1)/4)+1)))</f>
        <v/>
      </c>
      <c r="F45" s="19" t="str">
        <f t="array" ref="F45">IF(X45="","",INDEX('Inventory - P13'!$E$16:$E$27,(INT((X45-1)/4)+1)))</f>
        <v/>
      </c>
      <c r="G45" s="19" t="str">
        <f t="array" ref="G45">IF(X45="","",INDEX('Inventory - P13'!$I$16:$I$27,(INT((X45-1)/4)+1)))</f>
        <v/>
      </c>
      <c r="H45" s="19" t="str">
        <f t="array" ref="H45">IF(X45="","",INDEX('Inventory - P13'!$J$16:$J$27,(INT((X45-1)/4)+1)))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19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P13'!$D$16:$D$27,(INT((X46-1)/4)+1)))</f>
        <v/>
      </c>
      <c r="F46" s="19" t="str">
        <f t="array" ref="F46">IF(X46="","",INDEX('Inventory - P13'!$E$16:$E$27,(INT((X46-1)/4)+1)))</f>
        <v/>
      </c>
      <c r="G46" s="19" t="str">
        <f t="array" ref="G46">IF(X46="","",INDEX('Inventory - P13'!$I$16:$I$27,(INT((X46-1)/4)+1)))</f>
        <v/>
      </c>
      <c r="H46" s="19" t="str">
        <f t="array" ref="H46">IF(X46="","",INDEX('Inventory - P13'!$J$16:$J$27,(INT((X46-1)/4)+1)))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19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P13'!$D$16:$D$27,(INT((X47-1)/4)+1)))</f>
        <v/>
      </c>
      <c r="F47" s="19" t="str">
        <f t="array" ref="F47">IF(X47="","",INDEX('Inventory - P13'!$E$16:$E$27,(INT((X47-1)/4)+1)))</f>
        <v/>
      </c>
      <c r="G47" s="19" t="str">
        <f t="array" ref="G47">IF(X47="","",INDEX('Inventory - P13'!$I$16:$I$27,(INT((X47-1)/4)+1)))</f>
        <v/>
      </c>
      <c r="H47" s="19" t="str">
        <f t="array" ref="H47">IF(X47="","",INDEX('Inventory - P13'!$J$16:$J$27,(INT((X47-1)/4)+1)))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19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P13'!$D$16:$D$27,(INT((X48-1)/4)+1)))</f>
        <v/>
      </c>
      <c r="F48" s="19" t="str">
        <f t="array" ref="F48">IF(X48="","",INDEX('Inventory - P13'!$E$16:$E$27,(INT((X48-1)/4)+1)))</f>
        <v/>
      </c>
      <c r="G48" s="19" t="str">
        <f t="array" ref="G48">IF(X48="","",INDEX('Inventory - P13'!$I$16:$I$27,(INT((X48-1)/4)+1)))</f>
        <v/>
      </c>
      <c r="H48" s="19" t="str">
        <f t="array" ref="H48">IF(X48="","",INDEX('Inventory - P13'!$J$16:$J$27,(INT((X48-1)/4)+1)))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19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P13'!$D$16:$D$27,(INT((X50-1)/4)+1)))</f>
        <v/>
      </c>
      <c r="F50" s="19" t="str">
        <f t="array" ref="F50">IF(X50="","",INDEX('Inventory - P13'!$E$16:$E$27,(INT((X50-1)/4)+1)))</f>
        <v/>
      </c>
      <c r="G50" s="19" t="str">
        <f t="array" ref="G50">IF(X50="","",INDEX('Inventory - P13'!$I$16:$I$27,(INT((X50-1)/4)+1)))</f>
        <v/>
      </c>
      <c r="H50" s="19" t="str">
        <f t="array" ref="H50">IF(X50="","",INDEX('Inventory - P13'!$J$16:$J$27,(INT((X50-1)/4)+1)))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19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P13'!$D$16:$D$27,(INT((X51-1)/4)+1)))</f>
        <v/>
      </c>
      <c r="F51" s="19" t="str">
        <f t="array" ref="F51">IF(X51="","",INDEX('Inventory - P13'!$E$16:$E$27,(INT((X51-1)/4)+1)))</f>
        <v/>
      </c>
      <c r="G51" s="19" t="str">
        <f t="array" ref="G51">IF(X51="","",INDEX('Inventory - P13'!$I$16:$I$27,(INT((X51-1)/4)+1)))</f>
        <v/>
      </c>
      <c r="H51" s="19" t="str">
        <f t="array" ref="H51">IF(X51="","",INDEX('Inventory - P13'!$J$16:$J$27,(INT((X51-1)/4)+1)))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19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P13'!$D$16:$D$27,(INT((X52-1)/4)+1)))</f>
        <v/>
      </c>
      <c r="F52" s="19" t="str">
        <f t="array" ref="F52">IF(X52="","",INDEX('Inventory - P13'!$E$16:$E$27,(INT((X52-1)/4)+1)))</f>
        <v/>
      </c>
      <c r="G52" s="19" t="str">
        <f t="array" ref="G52">IF(X52="","",INDEX('Inventory - P13'!$I$16:$I$27,(INT((X52-1)/4)+1)))</f>
        <v/>
      </c>
      <c r="H52" s="19" t="str">
        <f t="array" ref="H52">IF(X52="","",INDEX('Inventory - P13'!$J$16:$J$27,(INT((X52-1)/4)+1)))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19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P13'!$D$16:$D$27,(INT((X53-1)/4)+1)))</f>
        <v/>
      </c>
      <c r="F53" s="19" t="str">
        <f t="array" ref="F53">IF(X53="","",INDEX('Inventory - P13'!$E$16:$E$27,(INT((X53-1)/4)+1)))</f>
        <v/>
      </c>
      <c r="G53" s="19" t="str">
        <f t="array" ref="G53">IF(X53="","",INDEX('Inventory - P13'!$I$16:$I$27,(INT((X53-1)/4)+1)))</f>
        <v/>
      </c>
      <c r="H53" s="19" t="str">
        <f t="array" ref="H53">IF(X53="","",INDEX('Inventory - P13'!$J$16:$J$27,(INT((X53-1)/4)+1)))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19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P13'!$D$16:$D$27,(INT((X54-1)/4)+1)))</f>
        <v/>
      </c>
      <c r="F54" s="19" t="str">
        <f t="array" ref="F54">IF(X54="","",INDEX('Inventory - P13'!$E$16:$E$27,(INT((X54-1)/4)+1)))</f>
        <v/>
      </c>
      <c r="G54" s="19" t="str">
        <f t="array" ref="G54">IF(X54="","",INDEX('Inventory - P13'!$I$16:$I$27,(INT((X54-1)/4)+1)))</f>
        <v/>
      </c>
      <c r="H54" s="19" t="str">
        <f t="array" ref="H54">IF(X54="","",INDEX('Inventory - P13'!$J$16:$J$27,(INT((X54-1)/4)+1)))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19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P13'!$D$16:$D$27,(INT((X55-1)/4)+1)))</f>
        <v/>
      </c>
      <c r="F55" s="19" t="str">
        <f t="array" ref="F55">IF(X55="","",INDEX('Inventory - P13'!$E$16:$E$27,(INT((X55-1)/4)+1)))</f>
        <v/>
      </c>
      <c r="G55" s="19" t="str">
        <f t="array" ref="G55">IF(X55="","",INDEX('Inventory - P13'!$I$16:$I$27,(INT((X55-1)/4)+1)))</f>
        <v/>
      </c>
      <c r="H55" s="19" t="str">
        <f t="array" ref="H55">IF(X55="","",INDEX('Inventory - P13'!$J$16:$J$27,(INT((X55-1)/4)+1)))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19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P13'!$D$16:$D$27,(INT((X56-1)/4)+1)))</f>
        <v/>
      </c>
      <c r="F56" s="19" t="str">
        <f t="array" ref="F56">IF(X56="","",INDEX('Inventory - P13'!$E$16:$E$27,(INT((X56-1)/4)+1)))</f>
        <v/>
      </c>
      <c r="G56" s="19" t="str">
        <f t="array" ref="G56">IF(X56="","",INDEX('Inventory - P13'!$I$16:$I$27,(INT((X56-1)/4)+1)))</f>
        <v/>
      </c>
      <c r="H56" s="19" t="str">
        <f t="array" ref="H56">IF(X56="","",INDEX('Inventory - P13'!$J$16:$J$27,(INT((X56-1)/4)+1)))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19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P13'!$D$16:$D$27,(INT((X57-1)/4)+1)))</f>
        <v/>
      </c>
      <c r="F57" s="19" t="str">
        <f t="array" ref="F57">IF(X57="","",INDEX('Inventory - P13'!$E$16:$E$27,(INT((X57-1)/4)+1)))</f>
        <v/>
      </c>
      <c r="G57" s="19" t="str">
        <f t="array" ref="G57">IF(X57="","",INDEX('Inventory - P13'!$I$16:$I$27,(INT((X57-1)/4)+1)))</f>
        <v/>
      </c>
      <c r="H57" s="19" t="str">
        <f t="array" ref="H57">IF(X57="","",INDEX('Inventory - P13'!$J$16:$J$27,(INT((X57-1)/4)+1)))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19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P13'!$D$16:$D$27,(INT((X58-1)/4)+1)))</f>
        <v/>
      </c>
      <c r="F58" s="19" t="str">
        <f t="array" ref="F58">IF(X58="","",INDEX('Inventory - P13'!$E$16:$E$27,(INT((X58-1)/4)+1)))</f>
        <v/>
      </c>
      <c r="G58" s="19" t="str">
        <f t="array" ref="G58">IF(X58="","",INDEX('Inventory - P13'!$I$16:$I$27,(INT((X58-1)/4)+1)))</f>
        <v/>
      </c>
      <c r="H58" s="19" t="str">
        <f t="array" ref="H58">IF(X58="","",INDEX('Inventory - P13'!$J$16:$J$27,(INT((X58-1)/4)+1)))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19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P13'!$D$16:$D$27,(INT((X59-1)/4)+1)))</f>
        <v/>
      </c>
      <c r="F59" s="19" t="str">
        <f t="array" ref="F59">IF(X59="","",INDEX('Inventory - P13'!$E$16:$E$27,(INT((X59-1)/4)+1)))</f>
        <v/>
      </c>
      <c r="G59" s="19" t="str">
        <f t="array" ref="G59">IF(X59="","",INDEX('Inventory - P13'!$I$16:$I$27,(INT((X59-1)/4)+1)))</f>
        <v/>
      </c>
      <c r="H59" s="19" t="str">
        <f t="array" ref="H59">IF(X59="","",INDEX('Inventory - P13'!$J$16:$J$27,(INT((X59-1)/4)+1)))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19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P13'!$D$16:$D$27,(INT((X60-1)/4)+1)))</f>
        <v/>
      </c>
      <c r="F60" s="19" t="str">
        <f t="array" ref="F60">IF(X60="","",INDEX('Inventory - P13'!$E$16:$E$27,(INT((X60-1)/4)+1)))</f>
        <v/>
      </c>
      <c r="G60" s="19" t="str">
        <f t="array" ref="G60">IF(X60="","",INDEX('Inventory - P13'!$I$16:$I$27,(INT((X60-1)/4)+1)))</f>
        <v/>
      </c>
      <c r="H60" s="19" t="str">
        <f t="array" ref="H60">IF(X60="","",INDEX('Inventory - P13'!$J$16:$J$27,(INT((X60-1)/4)+1)))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19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P13'!$D$16:$D$27,(INT((X61-1)/4)+1)))</f>
        <v/>
      </c>
      <c r="F61" s="19" t="str">
        <f t="array" ref="F61">IF(X61="","",INDEX('Inventory - P13'!$E$16:$E$27,(INT((X61-1)/4)+1)))</f>
        <v/>
      </c>
      <c r="G61" s="19" t="str">
        <f t="array" ref="G61">IF(X61="","",INDEX('Inventory - P13'!$I$16:$I$27,(INT((X61-1)/4)+1)))</f>
        <v/>
      </c>
      <c r="H61" s="19" t="str">
        <f t="array" ref="H61">IF(X61="","",INDEX('Inventory - P13'!$J$16:$J$27,(INT((X61-1)/4)+1)))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P13'!E16&lt;1,'Inventory - P13'!F16="",'Inventory - P13'!G16=""),9,MOD('Inventory - P13'!F16+0*'Inventory - P13'!G16/24,1))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P13'!E16&lt;2,'Inventory - P13'!F16="",'Inventory - P13'!G16=""),9,MOD('Inventory - P13'!F16+1*'Inventory - P13'!G16/24,1))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P13'!E16&lt;3,'Inventory - P13'!F16="",'Inventory - P13'!G16=""),9,MOD('Inventory - P13'!F16+2*'Inventory - P13'!G16/24,1))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P13'!E16&lt;4,'Inventory - P13'!F16="",'Inventory - P13'!G16=""),9,MOD('Inventory - P13'!F16+3*'Inventory - P13'!G16/24,1))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P13'!E17&lt;1,'Inventory - P13'!F17="",'Inventory - P13'!G17=""),9,MOD('Inventory - P13'!F17+0*'Inventory - P13'!G17/24,1))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P13'!E17&lt;2,'Inventory - P13'!F17="",'Inventory - P13'!G17=""),9,MOD('Inventory - P13'!F17+1*'Inventory - P13'!G17/24,1))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P13'!E17&lt;3,'Inventory - P13'!F17="",'Inventory - P13'!G17=""),9,MOD('Inventory - P13'!F17+2*'Inventory - P13'!G17/24,1))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P13'!E17&lt;4,'Inventory - P13'!F17="",'Inventory - P13'!G17=""),9,MOD('Inventory - P13'!F17+3*'Inventory - P13'!G17/24,1))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P13'!E18&lt;1,'Inventory - P13'!F18="",'Inventory - P13'!G18=""),9,MOD('Inventory - P13'!F18+0*'Inventory - P13'!G18/24,1))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P13'!E18&lt;2,'Inventory - P13'!F18="",'Inventory - P13'!G18=""),9,MOD('Inventory - P13'!F18+1*'Inventory - P13'!G18/24,1))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P13'!E18&lt;3,'Inventory - P13'!F18="",'Inventory - P13'!G18=""),9,MOD('Inventory - P13'!F18+2*'Inventory - P13'!G18/24,1))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P13'!E18&lt;4,'Inventory - P13'!F18="",'Inventory - P13'!G18=""),9,MOD('Inventory - P13'!F18+3*'Inventory - P13'!G18/24,1))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P13'!E19&lt;1,'Inventory - P13'!F19="",'Inventory - P13'!G19=""),9,MOD('Inventory - P13'!F19+0*'Inventory - P13'!G19/24,1))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P13'!E19&lt;2,'Inventory - P13'!F19="",'Inventory - P13'!G19=""),9,MOD('Inventory - P13'!F19+1*'Inventory - P13'!G19/24,1))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P13'!E19&lt;3,'Inventory - P13'!F19="",'Inventory - P13'!G19=""),9,MOD('Inventory - P13'!F19+2*'Inventory - P13'!G19/24,1))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P13'!E19&lt;4,'Inventory - P13'!F19="",'Inventory - P13'!G19=""),9,MOD('Inventory - P13'!F19+3*'Inventory - P13'!G19/24,1))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P13'!E20&lt;1,'Inventory - P13'!F20="",'Inventory - P13'!G20=""),9,MOD('Inventory - P13'!F20+0*'Inventory - P13'!G20/24,1))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P13'!E20&lt;2,'Inventory - P13'!F20="",'Inventory - P13'!G20=""),9,MOD('Inventory - P13'!F20+1*'Inventory - P13'!G20/24,1))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P13'!E20&lt;3,'Inventory - P13'!F20="",'Inventory - P13'!G20=""),9,MOD('Inventory - P13'!F20+2*'Inventory - P13'!G20/24,1))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P13'!E20&lt;4,'Inventory - P13'!F20="",'Inventory - P13'!G20=""),9,MOD('Inventory - P13'!F20+3*'Inventory - P13'!G20/24,1))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P13'!E21&lt;1,'Inventory - P13'!F21="",'Inventory - P13'!G21=""),9,MOD('Inventory - P13'!F21+0*'Inventory - P13'!G21/24,1))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P13'!E21&lt;2,'Inventory - P13'!F21="",'Inventory - P13'!G21=""),9,MOD('Inventory - P13'!F21+1*'Inventory - P13'!G21/24,1))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P13'!E21&lt;3,'Inventory - P13'!F21="",'Inventory - P13'!G21=""),9,MOD('Inventory - P13'!F21+2*'Inventory - P13'!G21/24,1))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P13'!E21&lt;4,'Inventory - P13'!F21="",'Inventory - P13'!G21=""),9,MOD('Inventory - P13'!F21+3*'Inventory - P13'!G21/24,1))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P13'!E22&lt;1,'Inventory - P13'!F22="",'Inventory - P13'!G22=""),9,MOD('Inventory - P13'!F22+0*'Inventory - P13'!G22/24,1))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P13'!E22&lt;2,'Inventory - P13'!F22="",'Inventory - P13'!G22=""),9,MOD('Inventory - P13'!F22+1*'Inventory - P13'!G22/24,1))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P13'!E22&lt;3,'Inventory - P13'!F22="",'Inventory - P13'!G22=""),9,MOD('Inventory - P13'!F22+2*'Inventory - P13'!G22/24,1))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P13'!E22&lt;4,'Inventory - P13'!F22="",'Inventory - P13'!G22=""),9,MOD('Inventory - P13'!F22+3*'Inventory - P13'!G22/24,1))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P13'!E23&lt;1,'Inventory - P13'!F23="",'Inventory - P13'!G23=""),9,MOD('Inventory - P13'!F23+0*'Inventory - P13'!G23/24,1))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P13'!E23&lt;2,'Inventory - P13'!F23="",'Inventory - P13'!G23=""),9,MOD('Inventory - P13'!F23+1*'Inventory - P13'!G23/24,1))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P13'!E23&lt;3,'Inventory - P13'!F23="",'Inventory - P13'!G23=""),9,MOD('Inventory - P13'!F23+2*'Inventory - P13'!G23/24,1))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P13'!E23&lt;4,'Inventory - P13'!F23="",'Inventory - P13'!G23=""),9,MOD('Inventory - P13'!F23+3*'Inventory - P13'!G23/24,1))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P13'!E24&lt;1,'Inventory - P13'!F24="",'Inventory - P13'!G24=""),9,MOD('Inventory - P13'!F24+0*'Inventory - P13'!G24/24,1))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P13'!E24&lt;2,'Inventory - P13'!F24="",'Inventory - P13'!G24=""),9,MOD('Inventory - P13'!F24+1*'Inventory - P13'!G24/24,1))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P13'!E24&lt;3,'Inventory - P13'!F24="",'Inventory - P13'!G24=""),9,MOD('Inventory - P13'!F24+2*'Inventory - P13'!G24/24,1))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P13'!E24&lt;4,'Inventory - P13'!F24="",'Inventory - P13'!G24=""),9,MOD('Inventory - P13'!F24+3*'Inventory - P13'!G24/24,1))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P13'!E25&lt;1,'Inventory - P13'!F25="",'Inventory - P13'!G25=""),9,MOD('Inventory - P13'!F25+0*'Inventory - P13'!G25/24,1))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P13'!E25&lt;2,'Inventory - P13'!F25="",'Inventory - P13'!G25=""),9,MOD('Inventory - P13'!F25+1*'Inventory - P13'!G25/24,1))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P13'!E25&lt;3,'Inventory - P13'!F25="",'Inventory - P13'!G25=""),9,MOD('Inventory - P13'!F25+2*'Inventory - P13'!G25/24,1))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P13'!E25&lt;4,'Inventory - P13'!F25="",'Inventory - P13'!G25=""),9,MOD('Inventory - P13'!F25+3*'Inventory - P13'!G25/24,1))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P13'!E26&lt;1,'Inventory - P13'!F26="",'Inventory - P13'!G26=""),9,MOD('Inventory - P13'!F26+0*'Inventory - P13'!G26/24,1))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P13'!E26&lt;2,'Inventory - P13'!F26="",'Inventory - P13'!G26=""),9,MOD('Inventory - P13'!F26+1*'Inventory - P13'!G26/24,1))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P13'!E26&lt;3,'Inventory - P13'!F26="",'Inventory - P13'!G26=""),9,MOD('Inventory - P13'!F26+2*'Inventory - P13'!G26/24,1))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P13'!E26&lt;4,'Inventory - P13'!F26="",'Inventory - P13'!G26=""),9,MOD('Inventory - P13'!F26+3*'Inventory - P13'!G26/24,1))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P13'!E27&lt;1,'Inventory - P13'!F27="",'Inventory - P13'!G27=""),9,MOD('Inventory - P13'!F27+0*'Inventory - P13'!G27/24,1))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P13'!E27&lt;2,'Inventory - P13'!F27="",'Inventory - P13'!G27=""),9,MOD('Inventory - P13'!F27+1*'Inventory - P13'!G27/24,1))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P13'!E27&lt;3,'Inventory - P13'!F27="",'Inventory - P13'!G27=""),9,MOD('Inventory - P13'!F27+2*'Inventory - P13'!G27/24,1))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P13'!E27&lt;4,'Inventory - P13'!F27="",'Inventory - P13'!G27=""),9,MOD('Inventory - P13'!F27+3*'Inventory - P13'!G27/24,1))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Tracker'!S18="","","INV-"&amp;SUBSTITUTE('Client Needs Tracker'!S18," ",""))</f>
        <v>INV-F-3B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Tracker'!B18="","(Add client on Client Needs Tracker, row 18)",'Client Needs Tracker'!B18)</f>
        <v>(Add client on Client Needs Tracker, row 18)</v>
      </c>
      <c r="B6" s="104"/>
      <c r="C6" s="104"/>
      <c r="D6" s="104"/>
      <c r="E6" s="104"/>
      <c r="F6" s="105" t="str">
        <f>'Client Needs Tracker'!A18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Tracker'!C18="","",'Client Needs Tracker'!C18)</f>
        <v/>
      </c>
      <c r="B8" s="104"/>
      <c r="C8" s="104"/>
      <c r="D8" s="104"/>
      <c r="E8" s="104"/>
      <c r="F8" s="108" t="str">
        <f>'Client Needs Tracker'!E18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Tracker'!F18="","",'Client Needs Tracker'!F18)</f>
        <v/>
      </c>
      <c r="B10" s="104"/>
      <c r="C10" s="104"/>
      <c r="D10" s="104"/>
      <c r="E10" s="104"/>
      <c r="F10" s="110" t="str">
        <f>IF('Client Status Board'!G18="","",'Client Status Board'!G18)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Board'!L18="","",'Client Status Board'!L18)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ht="15.0" customHeight="1">
      <c r="A3" s="130" t="str">
        <f>IF('Inventory - P14'!A6="","(Enter name in Inventory - P14)",'Inventory - P14'!A6)</f>
        <v>(Add client on Client Needs Tracker, row 18)</v>
      </c>
      <c r="B3" s="131"/>
      <c r="C3" s="131"/>
      <c r="D3" s="131"/>
      <c r="E3" s="131"/>
      <c r="F3" s="132" t="str">
        <f>IF('Inventory - P14'!F6="","(Enter ID in Inventory - P14)","Member ID: "&amp;'Inventory - P14'!F6)</f>
        <v>(Enter ID in Inventory - P14)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Tracker'!S18="","","INV-"&amp;SUBSTITUTE('Client Needs Tracker'!S18," ",""))</f>
        <v>INV-F-3B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P14'!F8="","-",'Inventory - P14'!F8)</f>
        <v>LOC: -</v>
      </c>
      <c r="C5" s="3"/>
      <c r="D5" s="134" t="str">
        <f>"Case Manager: "&amp;IF('Inventory - P14'!A10="","-",'Inventory - P14'!A10)</f>
        <v>Case Manager: -</v>
      </c>
      <c r="F5" s="3"/>
      <c r="G5" s="134" t="str">
        <f>"Doctor: "&amp;IF('Inventory - P14'!F10="","-",'Inventory - P14'!F10)</f>
        <v>Doctor: -</v>
      </c>
      <c r="I5" s="3"/>
      <c r="J5" s="134" t="str">
        <f>"Pharmacy: "&amp;IF('Inventory - P14'!A12="","-",'Inventory - P14'!A12)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P14'!A14="","",'Inventory - P14'!A14)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P14'!A14="","",'Inventory - P14'!A14+0)</f>
        <v/>
      </c>
      <c r="J8" s="139"/>
      <c r="K8" s="138" t="str">
        <f>IF('Inventory - P14'!A14="","",'Inventory - P14'!A14+1)</f>
        <v/>
      </c>
      <c r="L8" s="139"/>
      <c r="M8" s="138" t="str">
        <f>IF('Inventory - P14'!A14="","",'Inventory - P14'!A14+2)</f>
        <v/>
      </c>
      <c r="N8" s="139"/>
      <c r="O8" s="138" t="str">
        <f>IF('Inventory - P14'!A14="","",'Inventory - P14'!A14+3)</f>
        <v/>
      </c>
      <c r="P8" s="139"/>
      <c r="Q8" s="138" t="str">
        <f>IF('Inventory - P14'!A14="","",'Inventory - P14'!A14+4)</f>
        <v/>
      </c>
      <c r="R8" s="139"/>
      <c r="S8" s="138" t="str">
        <f>IF('Inventory - P14'!A14="","",'Inventory - P14'!A14+5)</f>
        <v/>
      </c>
      <c r="T8" s="139"/>
      <c r="U8" s="138" t="str">
        <f>IF('Inventory - P14'!A14="","",'Inventory - P14'!A14+6)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P14'!$B$16:$B$27,(INT((X11-1)/4)+1))&amp;IF(INDEX('Inventory - P14'!$C$16:$C$27,(INT((X11-1)/4)+1))="",""," ("&amp;INDEX('Inventory - P14'!$C$16:$C$27,(INT((X11-1)/4)+1))&amp;" mg)"))</f>
        <v/>
      </c>
      <c r="D11" s="19" t="str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P14'!$D$16:$D$27,(INT((X11-1)/4)+1)))</f>
        <v/>
      </c>
      <c r="F11" s="19" t="str">
        <f t="array" ref="F11">IF(X11="","",INDEX('Inventory - P14'!$E$16:$E$27,(INT((X11-1)/4)+1)))</f>
        <v/>
      </c>
      <c r="G11" s="19" t="str">
        <f t="array" ref="G11">IF(X11="","",INDEX('Inventory - P14'!$I$16:$I$27,(INT((X11-1)/4)+1)))</f>
        <v/>
      </c>
      <c r="H11" s="19" t="str">
        <f t="array" ref="H11">IF(X11="","",INDEX('Inventory - P14'!$J$16:$J$27,(INT((X11-1)/4)+1)))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19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P14'!$D$16:$D$27,(INT((X12-1)/4)+1)))</f>
        <v/>
      </c>
      <c r="F12" s="19" t="str">
        <f t="array" ref="F12">IF(X12="","",INDEX('Inventory - P14'!$E$16:$E$27,(INT((X12-1)/4)+1)))</f>
        <v/>
      </c>
      <c r="G12" s="19" t="str">
        <f t="array" ref="G12">IF(X12="","",INDEX('Inventory - P14'!$I$16:$I$27,(INT((X12-1)/4)+1)))</f>
        <v/>
      </c>
      <c r="H12" s="19" t="str">
        <f t="array" ref="H12">IF(X12="","",INDEX('Inventory - P14'!$J$16:$J$27,(INT((X12-1)/4)+1)))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19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P14'!$D$16:$D$27,(INT((X13-1)/4)+1)))</f>
        <v/>
      </c>
      <c r="F13" s="19" t="str">
        <f t="array" ref="F13">IF(X13="","",INDEX('Inventory - P14'!$E$16:$E$27,(INT((X13-1)/4)+1)))</f>
        <v/>
      </c>
      <c r="G13" s="19" t="str">
        <f t="array" ref="G13">IF(X13="","",INDEX('Inventory - P14'!$I$16:$I$27,(INT((X13-1)/4)+1)))</f>
        <v/>
      </c>
      <c r="H13" s="19" t="str">
        <f t="array" ref="H13">IF(X13="","",INDEX('Inventory - P14'!$J$16:$J$27,(INT((X13-1)/4)+1)))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19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P14'!$D$16:$D$27,(INT((X14-1)/4)+1)))</f>
        <v/>
      </c>
      <c r="F14" s="19" t="str">
        <f t="array" ref="F14">IF(X14="","",INDEX('Inventory - P14'!$E$16:$E$27,(INT((X14-1)/4)+1)))</f>
        <v/>
      </c>
      <c r="G14" s="19" t="str">
        <f t="array" ref="G14">IF(X14="","",INDEX('Inventory - P14'!$I$16:$I$27,(INT((X14-1)/4)+1)))</f>
        <v/>
      </c>
      <c r="H14" s="19" t="str">
        <f t="array" ref="H14">IF(X14="","",INDEX('Inventory - P14'!$J$16:$J$27,(INT((X14-1)/4)+1)))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19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P14'!$D$16:$D$27,(INT((X15-1)/4)+1)))</f>
        <v/>
      </c>
      <c r="F15" s="19" t="str">
        <f t="array" ref="F15">IF(X15="","",INDEX('Inventory - P14'!$E$16:$E$27,(INT((X15-1)/4)+1)))</f>
        <v/>
      </c>
      <c r="G15" s="19" t="str">
        <f t="array" ref="G15">IF(X15="","",INDEX('Inventory - P14'!$I$16:$I$27,(INT((X15-1)/4)+1)))</f>
        <v/>
      </c>
      <c r="H15" s="19" t="str">
        <f t="array" ref="H15">IF(X15="","",INDEX('Inventory - P14'!$J$16:$J$27,(INT((X15-1)/4)+1)))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19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P14'!$D$16:$D$27,(INT((X16-1)/4)+1)))</f>
        <v/>
      </c>
      <c r="F16" s="19" t="str">
        <f t="array" ref="F16">IF(X16="","",INDEX('Inventory - P14'!$E$16:$E$27,(INT((X16-1)/4)+1)))</f>
        <v/>
      </c>
      <c r="G16" s="19" t="str">
        <f t="array" ref="G16">IF(X16="","",INDEX('Inventory - P14'!$I$16:$I$27,(INT((X16-1)/4)+1)))</f>
        <v/>
      </c>
      <c r="H16" s="19" t="str">
        <f t="array" ref="H16">IF(X16="","",INDEX('Inventory - P14'!$J$16:$J$27,(INT((X16-1)/4)+1)))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19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P14'!$D$16:$D$27,(INT((X17-1)/4)+1)))</f>
        <v/>
      </c>
      <c r="F17" s="19" t="str">
        <f t="array" ref="F17">IF(X17="","",INDEX('Inventory - P14'!$E$16:$E$27,(INT((X17-1)/4)+1)))</f>
        <v/>
      </c>
      <c r="G17" s="19" t="str">
        <f t="array" ref="G17">IF(X17="","",INDEX('Inventory - P14'!$I$16:$I$27,(INT((X17-1)/4)+1)))</f>
        <v/>
      </c>
      <c r="H17" s="19" t="str">
        <f t="array" ref="H17">IF(X17="","",INDEX('Inventory - P14'!$J$16:$J$27,(INT((X17-1)/4)+1)))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19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P14'!$D$16:$D$27,(INT((X18-1)/4)+1)))</f>
        <v/>
      </c>
      <c r="F18" s="19" t="str">
        <f t="array" ref="F18">IF(X18="","",INDEX('Inventory - P14'!$E$16:$E$27,(INT((X18-1)/4)+1)))</f>
        <v/>
      </c>
      <c r="G18" s="19" t="str">
        <f t="array" ref="G18">IF(X18="","",INDEX('Inventory - P14'!$I$16:$I$27,(INT((X18-1)/4)+1)))</f>
        <v/>
      </c>
      <c r="H18" s="19" t="str">
        <f t="array" ref="H18">IF(X18="","",INDEX('Inventory - P14'!$J$16:$J$27,(INT((X18-1)/4)+1)))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19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P14'!$D$16:$D$27,(INT((X19-1)/4)+1)))</f>
        <v/>
      </c>
      <c r="F19" s="19" t="str">
        <f t="array" ref="F19">IF(X19="","",INDEX('Inventory - P14'!$E$16:$E$27,(INT((X19-1)/4)+1)))</f>
        <v/>
      </c>
      <c r="G19" s="19" t="str">
        <f t="array" ref="G19">IF(X19="","",INDEX('Inventory - P14'!$I$16:$I$27,(INT((X19-1)/4)+1)))</f>
        <v/>
      </c>
      <c r="H19" s="19" t="str">
        <f t="array" ref="H19">IF(X19="","",INDEX('Inventory - P14'!$J$16:$J$27,(INT((X19-1)/4)+1)))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19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P14'!$D$16:$D$27,(INT((X20-1)/4)+1)))</f>
        <v/>
      </c>
      <c r="F20" s="19" t="str">
        <f t="array" ref="F20">IF(X20="","",INDEX('Inventory - P14'!$E$16:$E$27,(INT((X20-1)/4)+1)))</f>
        <v/>
      </c>
      <c r="G20" s="19" t="str">
        <f t="array" ref="G20">IF(X20="","",INDEX('Inventory - P14'!$I$16:$I$27,(INT((X20-1)/4)+1)))</f>
        <v/>
      </c>
      <c r="H20" s="19" t="str">
        <f t="array" ref="H20">IF(X20="","",INDEX('Inventory - P14'!$J$16:$J$27,(INT((X20-1)/4)+1)))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19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P14'!$D$16:$D$27,(INT((X21-1)/4)+1)))</f>
        <v/>
      </c>
      <c r="F21" s="19" t="str">
        <f t="array" ref="F21">IF(X21="","",INDEX('Inventory - P14'!$E$16:$E$27,(INT((X21-1)/4)+1)))</f>
        <v/>
      </c>
      <c r="G21" s="19" t="str">
        <f t="array" ref="G21">IF(X21="","",INDEX('Inventory - P14'!$I$16:$I$27,(INT((X21-1)/4)+1)))</f>
        <v/>
      </c>
      <c r="H21" s="19" t="str">
        <f t="array" ref="H21">IF(X21="","",INDEX('Inventory - P14'!$J$16:$J$27,(INT((X21-1)/4)+1)))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19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P14'!$D$16:$D$27,(INT((X22-1)/4)+1)))</f>
        <v/>
      </c>
      <c r="F22" s="19" t="str">
        <f t="array" ref="F22">IF(X22="","",INDEX('Inventory - P14'!$E$16:$E$27,(INT((X22-1)/4)+1)))</f>
        <v/>
      </c>
      <c r="G22" s="19" t="str">
        <f t="array" ref="G22">IF(X22="","",INDEX('Inventory - P14'!$I$16:$I$27,(INT((X22-1)/4)+1)))</f>
        <v/>
      </c>
      <c r="H22" s="19" t="str">
        <f t="array" ref="H22">IF(X22="","",INDEX('Inventory - P14'!$J$16:$J$27,(INT((X22-1)/4)+1)))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19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P14'!$D$16:$D$27,(INT((X24-1)/4)+1)))</f>
        <v/>
      </c>
      <c r="F24" s="19" t="str">
        <f t="array" ref="F24">IF(X24="","",INDEX('Inventory - P14'!$E$16:$E$27,(INT((X24-1)/4)+1)))</f>
        <v/>
      </c>
      <c r="G24" s="19" t="str">
        <f t="array" ref="G24">IF(X24="","",INDEX('Inventory - P14'!$I$16:$I$27,(INT((X24-1)/4)+1)))</f>
        <v/>
      </c>
      <c r="H24" s="19" t="str">
        <f t="array" ref="H24">IF(X24="","",INDEX('Inventory - P14'!$J$16:$J$27,(INT((X24-1)/4)+1)))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19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P14'!$D$16:$D$27,(INT((X25-1)/4)+1)))</f>
        <v/>
      </c>
      <c r="F25" s="19" t="str">
        <f t="array" ref="F25">IF(X25="","",INDEX('Inventory - P14'!$E$16:$E$27,(INT((X25-1)/4)+1)))</f>
        <v/>
      </c>
      <c r="G25" s="19" t="str">
        <f t="array" ref="G25">IF(X25="","",INDEX('Inventory - P14'!$I$16:$I$27,(INT((X25-1)/4)+1)))</f>
        <v/>
      </c>
      <c r="H25" s="19" t="str">
        <f t="array" ref="H25">IF(X25="","",INDEX('Inventory - P14'!$J$16:$J$27,(INT((X25-1)/4)+1)))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19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P14'!$D$16:$D$27,(INT((X26-1)/4)+1)))</f>
        <v/>
      </c>
      <c r="F26" s="19" t="str">
        <f t="array" ref="F26">IF(X26="","",INDEX('Inventory - P14'!$E$16:$E$27,(INT((X26-1)/4)+1)))</f>
        <v/>
      </c>
      <c r="G26" s="19" t="str">
        <f t="array" ref="G26">IF(X26="","",INDEX('Inventory - P14'!$I$16:$I$27,(INT((X26-1)/4)+1)))</f>
        <v/>
      </c>
      <c r="H26" s="19" t="str">
        <f t="array" ref="H26">IF(X26="","",INDEX('Inventory - P14'!$J$16:$J$27,(INT((X26-1)/4)+1)))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19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P14'!$D$16:$D$27,(INT((X27-1)/4)+1)))</f>
        <v/>
      </c>
      <c r="F27" s="19" t="str">
        <f t="array" ref="F27">IF(X27="","",INDEX('Inventory - P14'!$E$16:$E$27,(INT((X27-1)/4)+1)))</f>
        <v/>
      </c>
      <c r="G27" s="19" t="str">
        <f t="array" ref="G27">IF(X27="","",INDEX('Inventory - P14'!$I$16:$I$27,(INT((X27-1)/4)+1)))</f>
        <v/>
      </c>
      <c r="H27" s="19" t="str">
        <f t="array" ref="H27">IF(X27="","",INDEX('Inventory - P14'!$J$16:$J$27,(INT((X27-1)/4)+1)))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19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P14'!$D$16:$D$27,(INT((X28-1)/4)+1)))</f>
        <v/>
      </c>
      <c r="F28" s="19" t="str">
        <f t="array" ref="F28">IF(X28="","",INDEX('Inventory - P14'!$E$16:$E$27,(INT((X28-1)/4)+1)))</f>
        <v/>
      </c>
      <c r="G28" s="19" t="str">
        <f t="array" ref="G28">IF(X28="","",INDEX('Inventory - P14'!$I$16:$I$27,(INT((X28-1)/4)+1)))</f>
        <v/>
      </c>
      <c r="H28" s="19" t="str">
        <f t="array" ref="H28">IF(X28="","",INDEX('Inventory - P14'!$J$16:$J$27,(INT((X28-1)/4)+1)))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19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P14'!$D$16:$D$27,(INT((X29-1)/4)+1)))</f>
        <v/>
      </c>
      <c r="F29" s="19" t="str">
        <f t="array" ref="F29">IF(X29="","",INDEX('Inventory - P14'!$E$16:$E$27,(INT((X29-1)/4)+1)))</f>
        <v/>
      </c>
      <c r="G29" s="19" t="str">
        <f t="array" ref="G29">IF(X29="","",INDEX('Inventory - P14'!$I$16:$I$27,(INT((X29-1)/4)+1)))</f>
        <v/>
      </c>
      <c r="H29" s="19" t="str">
        <f t="array" ref="H29">IF(X29="","",INDEX('Inventory - P14'!$J$16:$J$27,(INT((X29-1)/4)+1)))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19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P14'!$D$16:$D$27,(INT((X30-1)/4)+1)))</f>
        <v/>
      </c>
      <c r="F30" s="19" t="str">
        <f t="array" ref="F30">IF(X30="","",INDEX('Inventory - P14'!$E$16:$E$27,(INT((X30-1)/4)+1)))</f>
        <v/>
      </c>
      <c r="G30" s="19" t="str">
        <f t="array" ref="G30">IF(X30="","",INDEX('Inventory - P14'!$I$16:$I$27,(INT((X30-1)/4)+1)))</f>
        <v/>
      </c>
      <c r="H30" s="19" t="str">
        <f t="array" ref="H30">IF(X30="","",INDEX('Inventory - P14'!$J$16:$J$27,(INT((X30-1)/4)+1)))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19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P14'!$D$16:$D$27,(INT((X31-1)/4)+1)))</f>
        <v/>
      </c>
      <c r="F31" s="19" t="str">
        <f t="array" ref="F31">IF(X31="","",INDEX('Inventory - P14'!$E$16:$E$27,(INT((X31-1)/4)+1)))</f>
        <v/>
      </c>
      <c r="G31" s="19" t="str">
        <f t="array" ref="G31">IF(X31="","",INDEX('Inventory - P14'!$I$16:$I$27,(INT((X31-1)/4)+1)))</f>
        <v/>
      </c>
      <c r="H31" s="19" t="str">
        <f t="array" ref="H31">IF(X31="","",INDEX('Inventory - P14'!$J$16:$J$27,(INT((X31-1)/4)+1)))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19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P14'!$D$16:$D$27,(INT((X32-1)/4)+1)))</f>
        <v/>
      </c>
      <c r="F32" s="19" t="str">
        <f t="array" ref="F32">IF(X32="","",INDEX('Inventory - P14'!$E$16:$E$27,(INT((X32-1)/4)+1)))</f>
        <v/>
      </c>
      <c r="G32" s="19" t="str">
        <f t="array" ref="G32">IF(X32="","",INDEX('Inventory - P14'!$I$16:$I$27,(INT((X32-1)/4)+1)))</f>
        <v/>
      </c>
      <c r="H32" s="19" t="str">
        <f t="array" ref="H32">IF(X32="","",INDEX('Inventory - P14'!$J$16:$J$27,(INT((X32-1)/4)+1)))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19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P14'!$D$16:$D$27,(INT((X33-1)/4)+1)))</f>
        <v/>
      </c>
      <c r="F33" s="19" t="str">
        <f t="array" ref="F33">IF(X33="","",INDEX('Inventory - P14'!$E$16:$E$27,(INT((X33-1)/4)+1)))</f>
        <v/>
      </c>
      <c r="G33" s="19" t="str">
        <f t="array" ref="G33">IF(X33="","",INDEX('Inventory - P14'!$I$16:$I$27,(INT((X33-1)/4)+1)))</f>
        <v/>
      </c>
      <c r="H33" s="19" t="str">
        <f t="array" ref="H33">IF(X33="","",INDEX('Inventory - P14'!$J$16:$J$27,(INT((X33-1)/4)+1)))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19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P14'!$D$16:$D$27,(INT((X34-1)/4)+1)))</f>
        <v/>
      </c>
      <c r="F34" s="19" t="str">
        <f t="array" ref="F34">IF(X34="","",INDEX('Inventory - P14'!$E$16:$E$27,(INT((X34-1)/4)+1)))</f>
        <v/>
      </c>
      <c r="G34" s="19" t="str">
        <f t="array" ref="G34">IF(X34="","",INDEX('Inventory - P14'!$I$16:$I$27,(INT((X34-1)/4)+1)))</f>
        <v/>
      </c>
      <c r="H34" s="19" t="str">
        <f t="array" ref="H34">IF(X34="","",INDEX('Inventory - P14'!$J$16:$J$27,(INT((X34-1)/4)+1)))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19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P14'!$D$16:$D$27,(INT((X35-1)/4)+1)))</f>
        <v/>
      </c>
      <c r="F35" s="19" t="str">
        <f t="array" ref="F35">IF(X35="","",INDEX('Inventory - P14'!$E$16:$E$27,(INT((X35-1)/4)+1)))</f>
        <v/>
      </c>
      <c r="G35" s="19" t="str">
        <f t="array" ref="G35">IF(X35="","",INDEX('Inventory - P14'!$I$16:$I$27,(INT((X35-1)/4)+1)))</f>
        <v/>
      </c>
      <c r="H35" s="19" t="str">
        <f t="array" ref="H35">IF(X35="","",INDEX('Inventory - P14'!$J$16:$J$27,(INT((X35-1)/4)+1)))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19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P14'!$D$16:$D$27,(INT((X37-1)/4)+1)))</f>
        <v/>
      </c>
      <c r="F37" s="19" t="str">
        <f t="array" ref="F37">IF(X37="","",INDEX('Inventory - P14'!$E$16:$E$27,(INT((X37-1)/4)+1)))</f>
        <v/>
      </c>
      <c r="G37" s="19" t="str">
        <f t="array" ref="G37">IF(X37="","",INDEX('Inventory - P14'!$I$16:$I$27,(INT((X37-1)/4)+1)))</f>
        <v/>
      </c>
      <c r="H37" s="19" t="str">
        <f t="array" ref="H37">IF(X37="","",INDEX('Inventory - P14'!$J$16:$J$27,(INT((X37-1)/4)+1)))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19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P14'!$D$16:$D$27,(INT((X38-1)/4)+1)))</f>
        <v/>
      </c>
      <c r="F38" s="19" t="str">
        <f t="array" ref="F38">IF(X38="","",INDEX('Inventory - P14'!$E$16:$E$27,(INT((X38-1)/4)+1)))</f>
        <v/>
      </c>
      <c r="G38" s="19" t="str">
        <f t="array" ref="G38">IF(X38="","",INDEX('Inventory - P14'!$I$16:$I$27,(INT((X38-1)/4)+1)))</f>
        <v/>
      </c>
      <c r="H38" s="19" t="str">
        <f t="array" ref="H38">IF(X38="","",INDEX('Inventory - P14'!$J$16:$J$27,(INT((X38-1)/4)+1)))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19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P14'!$D$16:$D$27,(INT((X39-1)/4)+1)))</f>
        <v/>
      </c>
      <c r="F39" s="19" t="str">
        <f t="array" ref="F39">IF(X39="","",INDEX('Inventory - P14'!$E$16:$E$27,(INT((X39-1)/4)+1)))</f>
        <v/>
      </c>
      <c r="G39" s="19" t="str">
        <f t="array" ref="G39">IF(X39="","",INDEX('Inventory - P14'!$I$16:$I$27,(INT((X39-1)/4)+1)))</f>
        <v/>
      </c>
      <c r="H39" s="19" t="str">
        <f t="array" ref="H39">IF(X39="","",INDEX('Inventory - P14'!$J$16:$J$27,(INT((X39-1)/4)+1)))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19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P14'!$D$16:$D$27,(INT((X40-1)/4)+1)))</f>
        <v/>
      </c>
      <c r="F40" s="19" t="str">
        <f t="array" ref="F40">IF(X40="","",INDEX('Inventory - P14'!$E$16:$E$27,(INT((X40-1)/4)+1)))</f>
        <v/>
      </c>
      <c r="G40" s="19" t="str">
        <f t="array" ref="G40">IF(X40="","",INDEX('Inventory - P14'!$I$16:$I$27,(INT((X40-1)/4)+1)))</f>
        <v/>
      </c>
      <c r="H40" s="19" t="str">
        <f t="array" ref="H40">IF(X40="","",INDEX('Inventory - P14'!$J$16:$J$27,(INT((X40-1)/4)+1)))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19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P14'!$D$16:$D$27,(INT((X41-1)/4)+1)))</f>
        <v/>
      </c>
      <c r="F41" s="19" t="str">
        <f t="array" ref="F41">IF(X41="","",INDEX('Inventory - P14'!$E$16:$E$27,(INT((X41-1)/4)+1)))</f>
        <v/>
      </c>
      <c r="G41" s="19" t="str">
        <f t="array" ref="G41">IF(X41="","",INDEX('Inventory - P14'!$I$16:$I$27,(INT((X41-1)/4)+1)))</f>
        <v/>
      </c>
      <c r="H41" s="19" t="str">
        <f t="array" ref="H41">IF(X41="","",INDEX('Inventory - P14'!$J$16:$J$27,(INT((X41-1)/4)+1)))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19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P14'!$D$16:$D$27,(INT((X42-1)/4)+1)))</f>
        <v/>
      </c>
      <c r="F42" s="19" t="str">
        <f t="array" ref="F42">IF(X42="","",INDEX('Inventory - P14'!$E$16:$E$27,(INT((X42-1)/4)+1)))</f>
        <v/>
      </c>
      <c r="G42" s="19" t="str">
        <f t="array" ref="G42">IF(X42="","",INDEX('Inventory - P14'!$I$16:$I$27,(INT((X42-1)/4)+1)))</f>
        <v/>
      </c>
      <c r="H42" s="19" t="str">
        <f t="array" ref="H42">IF(X42="","",INDEX('Inventory - P14'!$J$16:$J$27,(INT((X42-1)/4)+1)))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19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P14'!$D$16:$D$27,(INT((X43-1)/4)+1)))</f>
        <v/>
      </c>
      <c r="F43" s="19" t="str">
        <f t="array" ref="F43">IF(X43="","",INDEX('Inventory - P14'!$E$16:$E$27,(INT((X43-1)/4)+1)))</f>
        <v/>
      </c>
      <c r="G43" s="19" t="str">
        <f t="array" ref="G43">IF(X43="","",INDEX('Inventory - P14'!$I$16:$I$27,(INT((X43-1)/4)+1)))</f>
        <v/>
      </c>
      <c r="H43" s="19" t="str">
        <f t="array" ref="H43">IF(X43="","",INDEX('Inventory - P14'!$J$16:$J$27,(INT((X43-1)/4)+1)))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19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P14'!$D$16:$D$27,(INT((X44-1)/4)+1)))</f>
        <v/>
      </c>
      <c r="F44" s="19" t="str">
        <f t="array" ref="F44">IF(X44="","",INDEX('Inventory - P14'!$E$16:$E$27,(INT((X44-1)/4)+1)))</f>
        <v/>
      </c>
      <c r="G44" s="19" t="str">
        <f t="array" ref="G44">IF(X44="","",INDEX('Inventory - P14'!$I$16:$I$27,(INT((X44-1)/4)+1)))</f>
        <v/>
      </c>
      <c r="H44" s="19" t="str">
        <f t="array" ref="H44">IF(X44="","",INDEX('Inventory - P14'!$J$16:$J$27,(INT((X44-1)/4)+1)))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19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P14'!$D$16:$D$27,(INT((X45-1)/4)+1)))</f>
        <v/>
      </c>
      <c r="F45" s="19" t="str">
        <f t="array" ref="F45">IF(X45="","",INDEX('Inventory - P14'!$E$16:$E$27,(INT((X45-1)/4)+1)))</f>
        <v/>
      </c>
      <c r="G45" s="19" t="str">
        <f t="array" ref="G45">IF(X45="","",INDEX('Inventory - P14'!$I$16:$I$27,(INT((X45-1)/4)+1)))</f>
        <v/>
      </c>
      <c r="H45" s="19" t="str">
        <f t="array" ref="H45">IF(X45="","",INDEX('Inventory - P14'!$J$16:$J$27,(INT((X45-1)/4)+1)))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19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P14'!$D$16:$D$27,(INT((X46-1)/4)+1)))</f>
        <v/>
      </c>
      <c r="F46" s="19" t="str">
        <f t="array" ref="F46">IF(X46="","",INDEX('Inventory - P14'!$E$16:$E$27,(INT((X46-1)/4)+1)))</f>
        <v/>
      </c>
      <c r="G46" s="19" t="str">
        <f t="array" ref="G46">IF(X46="","",INDEX('Inventory - P14'!$I$16:$I$27,(INT((X46-1)/4)+1)))</f>
        <v/>
      </c>
      <c r="H46" s="19" t="str">
        <f t="array" ref="H46">IF(X46="","",INDEX('Inventory - P14'!$J$16:$J$27,(INT((X46-1)/4)+1)))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19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P14'!$D$16:$D$27,(INT((X47-1)/4)+1)))</f>
        <v/>
      </c>
      <c r="F47" s="19" t="str">
        <f t="array" ref="F47">IF(X47="","",INDEX('Inventory - P14'!$E$16:$E$27,(INT((X47-1)/4)+1)))</f>
        <v/>
      </c>
      <c r="G47" s="19" t="str">
        <f t="array" ref="G47">IF(X47="","",INDEX('Inventory - P14'!$I$16:$I$27,(INT((X47-1)/4)+1)))</f>
        <v/>
      </c>
      <c r="H47" s="19" t="str">
        <f t="array" ref="H47">IF(X47="","",INDEX('Inventory - P14'!$J$16:$J$27,(INT((X47-1)/4)+1)))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19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P14'!$D$16:$D$27,(INT((X48-1)/4)+1)))</f>
        <v/>
      </c>
      <c r="F48" s="19" t="str">
        <f t="array" ref="F48">IF(X48="","",INDEX('Inventory - P14'!$E$16:$E$27,(INT((X48-1)/4)+1)))</f>
        <v/>
      </c>
      <c r="G48" s="19" t="str">
        <f t="array" ref="G48">IF(X48="","",INDEX('Inventory - P14'!$I$16:$I$27,(INT((X48-1)/4)+1)))</f>
        <v/>
      </c>
      <c r="H48" s="19" t="str">
        <f t="array" ref="H48">IF(X48="","",INDEX('Inventory - P14'!$J$16:$J$27,(INT((X48-1)/4)+1)))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P14'!$B$16:$B$27,(INT((X50-1)/4)+1))&amp;IF(INDEX('Inventory - P14'!$C$16:$C$27,(INT((X50-1)/4)+1))="",""," ("&amp;INDEX('Inventory - P14'!$C$16:$C$27,(INT((X50-1)/4)+1))&amp;" mg)"))</f>
        <v/>
      </c>
      <c r="D50" s="19" t="str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P14'!$D$16:$D$27,(INT((X50-1)/4)+1)))</f>
        <v/>
      </c>
      <c r="F50" s="19" t="str">
        <f t="array" ref="F50">IF(X50="","",INDEX('Inventory - P14'!$E$16:$E$27,(INT((X50-1)/4)+1)))</f>
        <v/>
      </c>
      <c r="G50" s="19" t="str">
        <f t="array" ref="G50">IF(X50="","",INDEX('Inventory - P14'!$I$16:$I$27,(INT((X50-1)/4)+1)))</f>
        <v/>
      </c>
      <c r="H50" s="19" t="str">
        <f t="array" ref="H50">IF(X50="","",INDEX('Inventory - P14'!$J$16:$J$27,(INT((X50-1)/4)+1)))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19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P14'!$D$16:$D$27,(INT((X51-1)/4)+1)))</f>
        <v/>
      </c>
      <c r="F51" s="19" t="str">
        <f t="array" ref="F51">IF(X51="","",INDEX('Inventory - P14'!$E$16:$E$27,(INT((X51-1)/4)+1)))</f>
        <v/>
      </c>
      <c r="G51" s="19" t="str">
        <f t="array" ref="G51">IF(X51="","",INDEX('Inventory - P14'!$I$16:$I$27,(INT((X51-1)/4)+1)))</f>
        <v/>
      </c>
      <c r="H51" s="19" t="str">
        <f t="array" ref="H51">IF(X51="","",INDEX('Inventory - P14'!$J$16:$J$27,(INT((X51-1)/4)+1)))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19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P14'!$D$16:$D$27,(INT((X52-1)/4)+1)))</f>
        <v/>
      </c>
      <c r="F52" s="19" t="str">
        <f t="array" ref="F52">IF(X52="","",INDEX('Inventory - P14'!$E$16:$E$27,(INT((X52-1)/4)+1)))</f>
        <v/>
      </c>
      <c r="G52" s="19" t="str">
        <f t="array" ref="G52">IF(X52="","",INDEX('Inventory - P14'!$I$16:$I$27,(INT((X52-1)/4)+1)))</f>
        <v/>
      </c>
      <c r="H52" s="19" t="str">
        <f t="array" ref="H52">IF(X52="","",INDEX('Inventory - P14'!$J$16:$J$27,(INT((X52-1)/4)+1)))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19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P14'!$D$16:$D$27,(INT((X53-1)/4)+1)))</f>
        <v/>
      </c>
      <c r="F53" s="19" t="str">
        <f t="array" ref="F53">IF(X53="","",INDEX('Inventory - P14'!$E$16:$E$27,(INT((X53-1)/4)+1)))</f>
        <v/>
      </c>
      <c r="G53" s="19" t="str">
        <f t="array" ref="G53">IF(X53="","",INDEX('Inventory - P14'!$I$16:$I$27,(INT((X53-1)/4)+1)))</f>
        <v/>
      </c>
      <c r="H53" s="19" t="str">
        <f t="array" ref="H53">IF(X53="","",INDEX('Inventory - P14'!$J$16:$J$27,(INT((X53-1)/4)+1)))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19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P14'!$D$16:$D$27,(INT((X54-1)/4)+1)))</f>
        <v/>
      </c>
      <c r="F54" s="19" t="str">
        <f t="array" ref="F54">IF(X54="","",INDEX('Inventory - P14'!$E$16:$E$27,(INT((X54-1)/4)+1)))</f>
        <v/>
      </c>
      <c r="G54" s="19" t="str">
        <f t="array" ref="G54">IF(X54="","",INDEX('Inventory - P14'!$I$16:$I$27,(INT((X54-1)/4)+1)))</f>
        <v/>
      </c>
      <c r="H54" s="19" t="str">
        <f t="array" ref="H54">IF(X54="","",INDEX('Inventory - P14'!$J$16:$J$27,(INT((X54-1)/4)+1)))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19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P14'!$D$16:$D$27,(INT((X55-1)/4)+1)))</f>
        <v/>
      </c>
      <c r="F55" s="19" t="str">
        <f t="array" ref="F55">IF(X55="","",INDEX('Inventory - P14'!$E$16:$E$27,(INT((X55-1)/4)+1)))</f>
        <v/>
      </c>
      <c r="G55" s="19" t="str">
        <f t="array" ref="G55">IF(X55="","",INDEX('Inventory - P14'!$I$16:$I$27,(INT((X55-1)/4)+1)))</f>
        <v/>
      </c>
      <c r="H55" s="19" t="str">
        <f t="array" ref="H55">IF(X55="","",INDEX('Inventory - P14'!$J$16:$J$27,(INT((X55-1)/4)+1)))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19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P14'!$D$16:$D$27,(INT((X56-1)/4)+1)))</f>
        <v/>
      </c>
      <c r="F56" s="19" t="str">
        <f t="array" ref="F56">IF(X56="","",INDEX('Inventory - P14'!$E$16:$E$27,(INT((X56-1)/4)+1)))</f>
        <v/>
      </c>
      <c r="G56" s="19" t="str">
        <f t="array" ref="G56">IF(X56="","",INDEX('Inventory - P14'!$I$16:$I$27,(INT((X56-1)/4)+1)))</f>
        <v/>
      </c>
      <c r="H56" s="19" t="str">
        <f t="array" ref="H56">IF(X56="","",INDEX('Inventory - P14'!$J$16:$J$27,(INT((X56-1)/4)+1)))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19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P14'!$D$16:$D$27,(INT((X57-1)/4)+1)))</f>
        <v/>
      </c>
      <c r="F57" s="19" t="str">
        <f t="array" ref="F57">IF(X57="","",INDEX('Inventory - P14'!$E$16:$E$27,(INT((X57-1)/4)+1)))</f>
        <v/>
      </c>
      <c r="G57" s="19" t="str">
        <f t="array" ref="G57">IF(X57="","",INDEX('Inventory - P14'!$I$16:$I$27,(INT((X57-1)/4)+1)))</f>
        <v/>
      </c>
      <c r="H57" s="19" t="str">
        <f t="array" ref="H57">IF(X57="","",INDEX('Inventory - P14'!$J$16:$J$27,(INT((X57-1)/4)+1)))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19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P14'!$D$16:$D$27,(INT((X58-1)/4)+1)))</f>
        <v/>
      </c>
      <c r="F58" s="19" t="str">
        <f t="array" ref="F58">IF(X58="","",INDEX('Inventory - P14'!$E$16:$E$27,(INT((X58-1)/4)+1)))</f>
        <v/>
      </c>
      <c r="G58" s="19" t="str">
        <f t="array" ref="G58">IF(X58="","",INDEX('Inventory - P14'!$I$16:$I$27,(INT((X58-1)/4)+1)))</f>
        <v/>
      </c>
      <c r="H58" s="19" t="str">
        <f t="array" ref="H58">IF(X58="","",INDEX('Inventory - P14'!$J$16:$J$27,(INT((X58-1)/4)+1)))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19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P14'!$D$16:$D$27,(INT((X59-1)/4)+1)))</f>
        <v/>
      </c>
      <c r="F59" s="19" t="str">
        <f t="array" ref="F59">IF(X59="","",INDEX('Inventory - P14'!$E$16:$E$27,(INT((X59-1)/4)+1)))</f>
        <v/>
      </c>
      <c r="G59" s="19" t="str">
        <f t="array" ref="G59">IF(X59="","",INDEX('Inventory - P14'!$I$16:$I$27,(INT((X59-1)/4)+1)))</f>
        <v/>
      </c>
      <c r="H59" s="19" t="str">
        <f t="array" ref="H59">IF(X59="","",INDEX('Inventory - P14'!$J$16:$J$27,(INT((X59-1)/4)+1)))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19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P14'!$D$16:$D$27,(INT((X60-1)/4)+1)))</f>
        <v/>
      </c>
      <c r="F60" s="19" t="str">
        <f t="array" ref="F60">IF(X60="","",INDEX('Inventory - P14'!$E$16:$E$27,(INT((X60-1)/4)+1)))</f>
        <v/>
      </c>
      <c r="G60" s="19" t="str">
        <f t="array" ref="G60">IF(X60="","",INDEX('Inventory - P14'!$I$16:$I$27,(INT((X60-1)/4)+1)))</f>
        <v/>
      </c>
      <c r="H60" s="19" t="str">
        <f t="array" ref="H60">IF(X60="","",INDEX('Inventory - P14'!$J$16:$J$27,(INT((X60-1)/4)+1)))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19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P14'!$D$16:$D$27,(INT((X61-1)/4)+1)))</f>
        <v/>
      </c>
      <c r="F61" s="19" t="str">
        <f t="array" ref="F61">IF(X61="","",INDEX('Inventory - P14'!$E$16:$E$27,(INT((X61-1)/4)+1)))</f>
        <v/>
      </c>
      <c r="G61" s="19" t="str">
        <f t="array" ref="G61">IF(X61="","",INDEX('Inventory - P14'!$I$16:$I$27,(INT((X61-1)/4)+1)))</f>
        <v/>
      </c>
      <c r="H61" s="19" t="str">
        <f t="array" ref="H61">IF(X61="","",INDEX('Inventory - P14'!$J$16:$J$27,(INT((X61-1)/4)+1)))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P14'!E16&lt;1,'Inventory - P14'!F16="",'Inventory - P14'!G16=""),9,MOD('Inventory - P14'!F16+0*'Inventory - P14'!G16/24,1))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P14'!E16&lt;2,'Inventory - P14'!F16="",'Inventory - P14'!G16=""),9,MOD('Inventory - P14'!F16+1*'Inventory - P14'!G16/24,1))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P14'!E16&lt;3,'Inventory - P14'!F16="",'Inventory - P14'!G16=""),9,MOD('Inventory - P14'!F16+2*'Inventory - P14'!G16/24,1))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P14'!E16&lt;4,'Inventory - P14'!F16="",'Inventory - P14'!G16=""),9,MOD('Inventory - P14'!F16+3*'Inventory - P14'!G16/24,1))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P14'!E17&lt;1,'Inventory - P14'!F17="",'Inventory - P14'!G17=""),9,MOD('Inventory - P14'!F17+0*'Inventory - P14'!G17/24,1))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P14'!E17&lt;2,'Inventory - P14'!F17="",'Inventory - P14'!G17=""),9,MOD('Inventory - P14'!F17+1*'Inventory - P14'!G17/24,1))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P14'!E17&lt;3,'Inventory - P14'!F17="",'Inventory - P14'!G17=""),9,MOD('Inventory - P14'!F17+2*'Inventory - P14'!G17/24,1))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P14'!E17&lt;4,'Inventory - P14'!F17="",'Inventory - P14'!G17=""),9,MOD('Inventory - P14'!F17+3*'Inventory - P14'!G17/24,1))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P14'!E18&lt;1,'Inventory - P14'!F18="",'Inventory - P14'!G18=""),9,MOD('Inventory - P14'!F18+0*'Inventory - P14'!G18/24,1))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P14'!E18&lt;2,'Inventory - P14'!F18="",'Inventory - P14'!G18=""),9,MOD('Inventory - P14'!F18+1*'Inventory - P14'!G18/24,1))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P14'!E18&lt;3,'Inventory - P14'!F18="",'Inventory - P14'!G18=""),9,MOD('Inventory - P14'!F18+2*'Inventory - P14'!G18/24,1))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P14'!E18&lt;4,'Inventory - P14'!F18="",'Inventory - P14'!G18=""),9,MOD('Inventory - P14'!F18+3*'Inventory - P14'!G18/24,1))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P14'!E19&lt;1,'Inventory - P14'!F19="",'Inventory - P14'!G19=""),9,MOD('Inventory - P14'!F19+0*'Inventory - P14'!G19/24,1))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P14'!E19&lt;2,'Inventory - P14'!F19="",'Inventory - P14'!G19=""),9,MOD('Inventory - P14'!F19+1*'Inventory - P14'!G19/24,1))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P14'!E19&lt;3,'Inventory - P14'!F19="",'Inventory - P14'!G19=""),9,MOD('Inventory - P14'!F19+2*'Inventory - P14'!G19/24,1))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P14'!E19&lt;4,'Inventory - P14'!F19="",'Inventory - P14'!G19=""),9,MOD('Inventory - P14'!F19+3*'Inventory - P14'!G19/24,1))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P14'!E20&lt;1,'Inventory - P14'!F20="",'Inventory - P14'!G20=""),9,MOD('Inventory - P14'!F20+0*'Inventory - P14'!G20/24,1))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P14'!E20&lt;2,'Inventory - P14'!F20="",'Inventory - P14'!G20=""),9,MOD('Inventory - P14'!F20+1*'Inventory - P14'!G20/24,1))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P14'!E20&lt;3,'Inventory - P14'!F20="",'Inventory - P14'!G20=""),9,MOD('Inventory - P14'!F20+2*'Inventory - P14'!G20/24,1))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P14'!E20&lt;4,'Inventory - P14'!F20="",'Inventory - P14'!G20=""),9,MOD('Inventory - P14'!F20+3*'Inventory - P14'!G20/24,1))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P14'!E21&lt;1,'Inventory - P14'!F21="",'Inventory - P14'!G21=""),9,MOD('Inventory - P14'!F21+0*'Inventory - P14'!G21/24,1))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P14'!E21&lt;2,'Inventory - P14'!F21="",'Inventory - P14'!G21=""),9,MOD('Inventory - P14'!F21+1*'Inventory - P14'!G21/24,1))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P14'!E21&lt;3,'Inventory - P14'!F21="",'Inventory - P14'!G21=""),9,MOD('Inventory - P14'!F21+2*'Inventory - P14'!G21/24,1))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P14'!E21&lt;4,'Inventory - P14'!F21="",'Inventory - P14'!G21=""),9,MOD('Inventory - P14'!F21+3*'Inventory - P14'!G21/24,1))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P14'!E22&lt;1,'Inventory - P14'!F22="",'Inventory - P14'!G22=""),9,MOD('Inventory - P14'!F22+0*'Inventory - P14'!G22/24,1))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P14'!E22&lt;2,'Inventory - P14'!F22="",'Inventory - P14'!G22=""),9,MOD('Inventory - P14'!F22+1*'Inventory - P14'!G22/24,1))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P14'!E22&lt;3,'Inventory - P14'!F22="",'Inventory - P14'!G22=""),9,MOD('Inventory - P14'!F22+2*'Inventory - P14'!G22/24,1))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P14'!E22&lt;4,'Inventory - P14'!F22="",'Inventory - P14'!G22=""),9,MOD('Inventory - P14'!F22+3*'Inventory - P14'!G22/24,1))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P14'!E23&lt;1,'Inventory - P14'!F23="",'Inventory - P14'!G23=""),9,MOD('Inventory - P14'!F23+0*'Inventory - P14'!G23/24,1))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P14'!E23&lt;2,'Inventory - P14'!F23="",'Inventory - P14'!G23=""),9,MOD('Inventory - P14'!F23+1*'Inventory - P14'!G23/24,1))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P14'!E23&lt;3,'Inventory - P14'!F23="",'Inventory - P14'!G23=""),9,MOD('Inventory - P14'!F23+2*'Inventory - P14'!G23/24,1))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P14'!E23&lt;4,'Inventory - P14'!F23="",'Inventory - P14'!G23=""),9,MOD('Inventory - P14'!F23+3*'Inventory - P14'!G23/24,1))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P14'!E24&lt;1,'Inventory - P14'!F24="",'Inventory - P14'!G24=""),9,MOD('Inventory - P14'!F24+0*'Inventory - P14'!G24/24,1))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P14'!E24&lt;2,'Inventory - P14'!F24="",'Inventory - P14'!G24=""),9,MOD('Inventory - P14'!F24+1*'Inventory - P14'!G24/24,1))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P14'!E24&lt;3,'Inventory - P14'!F24="",'Inventory - P14'!G24=""),9,MOD('Inventory - P14'!F24+2*'Inventory - P14'!G24/24,1))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P14'!E24&lt;4,'Inventory - P14'!F24="",'Inventory - P14'!G24=""),9,MOD('Inventory - P14'!F24+3*'Inventory - P14'!G24/24,1))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P14'!E25&lt;1,'Inventory - P14'!F25="",'Inventory - P14'!G25=""),9,MOD('Inventory - P14'!F25+0*'Inventory - P14'!G25/24,1))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P14'!E25&lt;2,'Inventory - P14'!F25="",'Inventory - P14'!G25=""),9,MOD('Inventory - P14'!F25+1*'Inventory - P14'!G25/24,1))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P14'!E25&lt;3,'Inventory - P14'!F25="",'Inventory - P14'!G25=""),9,MOD('Inventory - P14'!F25+2*'Inventory - P14'!G25/24,1))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P14'!E25&lt;4,'Inventory - P14'!F25="",'Inventory - P14'!G25=""),9,MOD('Inventory - P14'!F25+3*'Inventory - P14'!G25/24,1))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P14'!E26&lt;1,'Inventory - P14'!F26="",'Inventory - P14'!G26=""),9,MOD('Inventory - P14'!F26+0*'Inventory - P14'!G26/24,1))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P14'!E26&lt;2,'Inventory - P14'!F26="",'Inventory - P14'!G26=""),9,MOD('Inventory - P14'!F26+1*'Inventory - P14'!G26/24,1))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P14'!E26&lt;3,'Inventory - P14'!F26="",'Inventory - P14'!G26=""),9,MOD('Inventory - P14'!F26+2*'Inventory - P14'!G26/24,1))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P14'!E26&lt;4,'Inventory - P14'!F26="",'Inventory - P14'!G26=""),9,MOD('Inventory - P14'!F26+3*'Inventory - P14'!G26/24,1))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P14'!E27&lt;1,'Inventory - P14'!F27="",'Inventory - P14'!G27=""),9,MOD('Inventory - P14'!F27+0*'Inventory - P14'!G27/24,1))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P14'!E27&lt;2,'Inventory - P14'!F27="",'Inventory - P14'!G27=""),9,MOD('Inventory - P14'!F27+1*'Inventory - P14'!G27/24,1))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P14'!E27&lt;3,'Inventory - P14'!F27="",'Inventory - P14'!G27=""),9,MOD('Inventory - P14'!F27+2*'Inventory - P14'!G27/24,1))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P14'!E27&lt;4,'Inventory - P14'!F27="",'Inventory - P14'!G27=""),9,MOD('Inventory - P14'!F27+3*'Inventory - P14'!G27/24,1))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Tracker'!S19="","","INV-"&amp;SUBSTITUTE('Client Needs Tracker'!S19," ",""))</f>
        <v>INV-F-4A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Tracker'!B19="","(Add client on Client Needs Tracker, row 19)",'Client Needs Tracker'!B19)</f>
        <v>(Add client on Client Needs Tracker, row 19)</v>
      </c>
      <c r="B6" s="104"/>
      <c r="C6" s="104"/>
      <c r="D6" s="104"/>
      <c r="E6" s="104"/>
      <c r="F6" s="105" t="str">
        <f>'Client Needs Tracker'!A19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Tracker'!C19="","",'Client Needs Tracker'!C19)</f>
        <v/>
      </c>
      <c r="B8" s="104"/>
      <c r="C8" s="104"/>
      <c r="D8" s="104"/>
      <c r="E8" s="104"/>
      <c r="F8" s="108" t="str">
        <f>'Client Needs Tracker'!E19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Tracker'!F19="","",'Client Needs Tracker'!F19)</f>
        <v/>
      </c>
      <c r="B10" s="104"/>
      <c r="C10" s="104"/>
      <c r="D10" s="104"/>
      <c r="E10" s="104"/>
      <c r="F10" s="110" t="str">
        <f>IF('Client Status Board'!G19="","",'Client Status Board'!G19)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Board'!L19="","",'Client Status Board'!L19)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ht="15.0" customHeight="1">
      <c r="A3" s="130" t="str">
        <f>IF('Inventory - P15'!A6="","(Enter name in Inventory - P15)",'Inventory - P15'!A6)</f>
        <v>(Add client on Client Needs Tracker, row 19)</v>
      </c>
      <c r="B3" s="131"/>
      <c r="C3" s="131"/>
      <c r="D3" s="131"/>
      <c r="E3" s="131"/>
      <c r="F3" s="132" t="str">
        <f>IF('Inventory - P15'!F6="","(Enter ID in Inventory - P15)","Member ID: "&amp;'Inventory - P15'!F6)</f>
        <v>(Enter ID in Inventory - P15)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Tracker'!S19="","","INV-"&amp;SUBSTITUTE('Client Needs Tracker'!S19," ",""))</f>
        <v>INV-F-4A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P15'!F8="","-",'Inventory - P15'!F8)</f>
        <v>LOC: -</v>
      </c>
      <c r="C5" s="3"/>
      <c r="D5" s="134" t="str">
        <f>"Case Manager: "&amp;IF('Inventory - P15'!A10="","-",'Inventory - P15'!A10)</f>
        <v>Case Manager: -</v>
      </c>
      <c r="F5" s="3"/>
      <c r="G5" s="134" t="str">
        <f>"Doctor: "&amp;IF('Inventory - P15'!F10="","-",'Inventory - P15'!F10)</f>
        <v>Doctor: -</v>
      </c>
      <c r="I5" s="3"/>
      <c r="J5" s="134" t="str">
        <f>"Pharmacy: "&amp;IF('Inventory - P15'!A12="","-",'Inventory - P15'!A12)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P15'!A14="","",'Inventory - P15'!A14)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P15'!A14="","",'Inventory - P15'!A14+0)</f>
        <v/>
      </c>
      <c r="J8" s="139"/>
      <c r="K8" s="138" t="str">
        <f>IF('Inventory - P15'!A14="","",'Inventory - P15'!A14+1)</f>
        <v/>
      </c>
      <c r="L8" s="139"/>
      <c r="M8" s="138" t="str">
        <f>IF('Inventory - P15'!A14="","",'Inventory - P15'!A14+2)</f>
        <v/>
      </c>
      <c r="N8" s="139"/>
      <c r="O8" s="138" t="str">
        <f>IF('Inventory - P15'!A14="","",'Inventory - P15'!A14+3)</f>
        <v/>
      </c>
      <c r="P8" s="139"/>
      <c r="Q8" s="138" t="str">
        <f>IF('Inventory - P15'!A14="","",'Inventory - P15'!A14+4)</f>
        <v/>
      </c>
      <c r="R8" s="139"/>
      <c r="S8" s="138" t="str">
        <f>IF('Inventory - P15'!A14="","",'Inventory - P15'!A14+5)</f>
        <v/>
      </c>
      <c r="T8" s="139"/>
      <c r="U8" s="138" t="str">
        <f>IF('Inventory - P15'!A14="","",'Inventory - P15'!A14+6)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19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P15'!$D$16:$D$27,(INT((X11-1)/4)+1)))</f>
        <v/>
      </c>
      <c r="F11" s="19" t="str">
        <f t="array" ref="F11">IF(X11="","",INDEX('Inventory - P15'!$E$16:$E$27,(INT((X11-1)/4)+1)))</f>
        <v/>
      </c>
      <c r="G11" s="19" t="str">
        <f t="array" ref="G11">IF(X11="","",INDEX('Inventory - P15'!$I$16:$I$27,(INT((X11-1)/4)+1)))</f>
        <v/>
      </c>
      <c r="H11" s="19" t="str">
        <f t="array" ref="H11">IF(X11="","",INDEX('Inventory - P15'!$J$16:$J$27,(INT((X11-1)/4)+1)))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19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P15'!$D$16:$D$27,(INT((X12-1)/4)+1)))</f>
        <v/>
      </c>
      <c r="F12" s="19" t="str">
        <f t="array" ref="F12">IF(X12="","",INDEX('Inventory - P15'!$E$16:$E$27,(INT((X12-1)/4)+1)))</f>
        <v/>
      </c>
      <c r="G12" s="19" t="str">
        <f t="array" ref="G12">IF(X12="","",INDEX('Inventory - P15'!$I$16:$I$27,(INT((X12-1)/4)+1)))</f>
        <v/>
      </c>
      <c r="H12" s="19" t="str">
        <f t="array" ref="H12">IF(X12="","",INDEX('Inventory - P15'!$J$16:$J$27,(INT((X12-1)/4)+1)))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19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P15'!$D$16:$D$27,(INT((X13-1)/4)+1)))</f>
        <v/>
      </c>
      <c r="F13" s="19" t="str">
        <f t="array" ref="F13">IF(X13="","",INDEX('Inventory - P15'!$E$16:$E$27,(INT((X13-1)/4)+1)))</f>
        <v/>
      </c>
      <c r="G13" s="19" t="str">
        <f t="array" ref="G13">IF(X13="","",INDEX('Inventory - P15'!$I$16:$I$27,(INT((X13-1)/4)+1)))</f>
        <v/>
      </c>
      <c r="H13" s="19" t="str">
        <f t="array" ref="H13">IF(X13="","",INDEX('Inventory - P15'!$J$16:$J$27,(INT((X13-1)/4)+1)))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19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P15'!$D$16:$D$27,(INT((X14-1)/4)+1)))</f>
        <v/>
      </c>
      <c r="F14" s="19" t="str">
        <f t="array" ref="F14">IF(X14="","",INDEX('Inventory - P15'!$E$16:$E$27,(INT((X14-1)/4)+1)))</f>
        <v/>
      </c>
      <c r="G14" s="19" t="str">
        <f t="array" ref="G14">IF(X14="","",INDEX('Inventory - P15'!$I$16:$I$27,(INT((X14-1)/4)+1)))</f>
        <v/>
      </c>
      <c r="H14" s="19" t="str">
        <f t="array" ref="H14">IF(X14="","",INDEX('Inventory - P15'!$J$16:$J$27,(INT((X14-1)/4)+1)))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19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P15'!$D$16:$D$27,(INT((X15-1)/4)+1)))</f>
        <v/>
      </c>
      <c r="F15" s="19" t="str">
        <f t="array" ref="F15">IF(X15="","",INDEX('Inventory - P15'!$E$16:$E$27,(INT((X15-1)/4)+1)))</f>
        <v/>
      </c>
      <c r="G15" s="19" t="str">
        <f t="array" ref="G15">IF(X15="","",INDEX('Inventory - P15'!$I$16:$I$27,(INT((X15-1)/4)+1)))</f>
        <v/>
      </c>
      <c r="H15" s="19" t="str">
        <f t="array" ref="H15">IF(X15="","",INDEX('Inventory - P15'!$J$16:$J$27,(INT((X15-1)/4)+1)))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19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P15'!$D$16:$D$27,(INT((X16-1)/4)+1)))</f>
        <v/>
      </c>
      <c r="F16" s="19" t="str">
        <f t="array" ref="F16">IF(X16="","",INDEX('Inventory - P15'!$E$16:$E$27,(INT((X16-1)/4)+1)))</f>
        <v/>
      </c>
      <c r="G16" s="19" t="str">
        <f t="array" ref="G16">IF(X16="","",INDEX('Inventory - P15'!$I$16:$I$27,(INT((X16-1)/4)+1)))</f>
        <v/>
      </c>
      <c r="H16" s="19" t="str">
        <f t="array" ref="H16">IF(X16="","",INDEX('Inventory - P15'!$J$16:$J$27,(INT((X16-1)/4)+1)))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19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P15'!$D$16:$D$27,(INT((X17-1)/4)+1)))</f>
        <v/>
      </c>
      <c r="F17" s="19" t="str">
        <f t="array" ref="F17">IF(X17="","",INDEX('Inventory - P15'!$E$16:$E$27,(INT((X17-1)/4)+1)))</f>
        <v/>
      </c>
      <c r="G17" s="19" t="str">
        <f t="array" ref="G17">IF(X17="","",INDEX('Inventory - P15'!$I$16:$I$27,(INT((X17-1)/4)+1)))</f>
        <v/>
      </c>
      <c r="H17" s="19" t="str">
        <f t="array" ref="H17">IF(X17="","",INDEX('Inventory - P15'!$J$16:$J$27,(INT((X17-1)/4)+1)))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19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P15'!$D$16:$D$27,(INT((X18-1)/4)+1)))</f>
        <v/>
      </c>
      <c r="F18" s="19" t="str">
        <f t="array" ref="F18">IF(X18="","",INDEX('Inventory - P15'!$E$16:$E$27,(INT((X18-1)/4)+1)))</f>
        <v/>
      </c>
      <c r="G18" s="19" t="str">
        <f t="array" ref="G18">IF(X18="","",INDEX('Inventory - P15'!$I$16:$I$27,(INT((X18-1)/4)+1)))</f>
        <v/>
      </c>
      <c r="H18" s="19" t="str">
        <f t="array" ref="H18">IF(X18="","",INDEX('Inventory - P15'!$J$16:$J$27,(INT((X18-1)/4)+1)))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19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P15'!$D$16:$D$27,(INT((X19-1)/4)+1)))</f>
        <v/>
      </c>
      <c r="F19" s="19" t="str">
        <f t="array" ref="F19">IF(X19="","",INDEX('Inventory - P15'!$E$16:$E$27,(INT((X19-1)/4)+1)))</f>
        <v/>
      </c>
      <c r="G19" s="19" t="str">
        <f t="array" ref="G19">IF(X19="","",INDEX('Inventory - P15'!$I$16:$I$27,(INT((X19-1)/4)+1)))</f>
        <v/>
      </c>
      <c r="H19" s="19" t="str">
        <f t="array" ref="H19">IF(X19="","",INDEX('Inventory - P15'!$J$16:$J$27,(INT((X19-1)/4)+1)))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19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P15'!$D$16:$D$27,(INT((X20-1)/4)+1)))</f>
        <v/>
      </c>
      <c r="F20" s="19" t="str">
        <f t="array" ref="F20">IF(X20="","",INDEX('Inventory - P15'!$E$16:$E$27,(INT((X20-1)/4)+1)))</f>
        <v/>
      </c>
      <c r="G20" s="19" t="str">
        <f t="array" ref="G20">IF(X20="","",INDEX('Inventory - P15'!$I$16:$I$27,(INT((X20-1)/4)+1)))</f>
        <v/>
      </c>
      <c r="H20" s="19" t="str">
        <f t="array" ref="H20">IF(X20="","",INDEX('Inventory - P15'!$J$16:$J$27,(INT((X20-1)/4)+1)))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19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P15'!$D$16:$D$27,(INT((X21-1)/4)+1)))</f>
        <v/>
      </c>
      <c r="F21" s="19" t="str">
        <f t="array" ref="F21">IF(X21="","",INDEX('Inventory - P15'!$E$16:$E$27,(INT((X21-1)/4)+1)))</f>
        <v/>
      </c>
      <c r="G21" s="19" t="str">
        <f t="array" ref="G21">IF(X21="","",INDEX('Inventory - P15'!$I$16:$I$27,(INT((X21-1)/4)+1)))</f>
        <v/>
      </c>
      <c r="H21" s="19" t="str">
        <f t="array" ref="H21">IF(X21="","",INDEX('Inventory - P15'!$J$16:$J$27,(INT((X21-1)/4)+1)))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19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P15'!$D$16:$D$27,(INT((X22-1)/4)+1)))</f>
        <v/>
      </c>
      <c r="F22" s="19" t="str">
        <f t="array" ref="F22">IF(X22="","",INDEX('Inventory - P15'!$E$16:$E$27,(INT((X22-1)/4)+1)))</f>
        <v/>
      </c>
      <c r="G22" s="19" t="str">
        <f t="array" ref="G22">IF(X22="","",INDEX('Inventory - P15'!$I$16:$I$27,(INT((X22-1)/4)+1)))</f>
        <v/>
      </c>
      <c r="H22" s="19" t="str">
        <f t="array" ref="H22">IF(X22="","",INDEX('Inventory - P15'!$J$16:$J$27,(INT((X22-1)/4)+1)))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19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P15'!$D$16:$D$27,(INT((X24-1)/4)+1)))</f>
        <v/>
      </c>
      <c r="F24" s="19" t="str">
        <f t="array" ref="F24">IF(X24="","",INDEX('Inventory - P15'!$E$16:$E$27,(INT((X24-1)/4)+1)))</f>
        <v/>
      </c>
      <c r="G24" s="19" t="str">
        <f t="array" ref="G24">IF(X24="","",INDEX('Inventory - P15'!$I$16:$I$27,(INT((X24-1)/4)+1)))</f>
        <v/>
      </c>
      <c r="H24" s="19" t="str">
        <f t="array" ref="H24">IF(X24="","",INDEX('Inventory - P15'!$J$16:$J$27,(INT((X24-1)/4)+1)))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19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P15'!$D$16:$D$27,(INT((X25-1)/4)+1)))</f>
        <v/>
      </c>
      <c r="F25" s="19" t="str">
        <f t="array" ref="F25">IF(X25="","",INDEX('Inventory - P15'!$E$16:$E$27,(INT((X25-1)/4)+1)))</f>
        <v/>
      </c>
      <c r="G25" s="19" t="str">
        <f t="array" ref="G25">IF(X25="","",INDEX('Inventory - P15'!$I$16:$I$27,(INT((X25-1)/4)+1)))</f>
        <v/>
      </c>
      <c r="H25" s="19" t="str">
        <f t="array" ref="H25">IF(X25="","",INDEX('Inventory - P15'!$J$16:$J$27,(INT((X25-1)/4)+1)))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19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P15'!$D$16:$D$27,(INT((X26-1)/4)+1)))</f>
        <v/>
      </c>
      <c r="F26" s="19" t="str">
        <f t="array" ref="F26">IF(X26="","",INDEX('Inventory - P15'!$E$16:$E$27,(INT((X26-1)/4)+1)))</f>
        <v/>
      </c>
      <c r="G26" s="19" t="str">
        <f t="array" ref="G26">IF(X26="","",INDEX('Inventory - P15'!$I$16:$I$27,(INT((X26-1)/4)+1)))</f>
        <v/>
      </c>
      <c r="H26" s="19" t="str">
        <f t="array" ref="H26">IF(X26="","",INDEX('Inventory - P15'!$J$16:$J$27,(INT((X26-1)/4)+1)))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19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P15'!$D$16:$D$27,(INT((X27-1)/4)+1)))</f>
        <v/>
      </c>
      <c r="F27" s="19" t="str">
        <f t="array" ref="F27">IF(X27="","",INDEX('Inventory - P15'!$E$16:$E$27,(INT((X27-1)/4)+1)))</f>
        <v/>
      </c>
      <c r="G27" s="19" t="str">
        <f t="array" ref="G27">IF(X27="","",INDEX('Inventory - P15'!$I$16:$I$27,(INT((X27-1)/4)+1)))</f>
        <v/>
      </c>
      <c r="H27" s="19" t="str">
        <f t="array" ref="H27">IF(X27="","",INDEX('Inventory - P15'!$J$16:$J$27,(INT((X27-1)/4)+1)))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19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P15'!$D$16:$D$27,(INT((X28-1)/4)+1)))</f>
        <v/>
      </c>
      <c r="F28" s="19" t="str">
        <f t="array" ref="F28">IF(X28="","",INDEX('Inventory - P15'!$E$16:$E$27,(INT((X28-1)/4)+1)))</f>
        <v/>
      </c>
      <c r="G28" s="19" t="str">
        <f t="array" ref="G28">IF(X28="","",INDEX('Inventory - P15'!$I$16:$I$27,(INT((X28-1)/4)+1)))</f>
        <v/>
      </c>
      <c r="H28" s="19" t="str">
        <f t="array" ref="H28">IF(X28="","",INDEX('Inventory - P15'!$J$16:$J$27,(INT((X28-1)/4)+1)))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19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P15'!$D$16:$D$27,(INT((X29-1)/4)+1)))</f>
        <v/>
      </c>
      <c r="F29" s="19" t="str">
        <f t="array" ref="F29">IF(X29="","",INDEX('Inventory - P15'!$E$16:$E$27,(INT((X29-1)/4)+1)))</f>
        <v/>
      </c>
      <c r="G29" s="19" t="str">
        <f t="array" ref="G29">IF(X29="","",INDEX('Inventory - P15'!$I$16:$I$27,(INT((X29-1)/4)+1)))</f>
        <v/>
      </c>
      <c r="H29" s="19" t="str">
        <f t="array" ref="H29">IF(X29="","",INDEX('Inventory - P15'!$J$16:$J$27,(INT((X29-1)/4)+1)))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19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P15'!$D$16:$D$27,(INT((X30-1)/4)+1)))</f>
        <v/>
      </c>
      <c r="F30" s="19" t="str">
        <f t="array" ref="F30">IF(X30="","",INDEX('Inventory - P15'!$E$16:$E$27,(INT((X30-1)/4)+1)))</f>
        <v/>
      </c>
      <c r="G30" s="19" t="str">
        <f t="array" ref="G30">IF(X30="","",INDEX('Inventory - P15'!$I$16:$I$27,(INT((X30-1)/4)+1)))</f>
        <v/>
      </c>
      <c r="H30" s="19" t="str">
        <f t="array" ref="H30">IF(X30="","",INDEX('Inventory - P15'!$J$16:$J$27,(INT((X30-1)/4)+1)))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19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P15'!$D$16:$D$27,(INT((X31-1)/4)+1)))</f>
        <v/>
      </c>
      <c r="F31" s="19" t="str">
        <f t="array" ref="F31">IF(X31="","",INDEX('Inventory - P15'!$E$16:$E$27,(INT((X31-1)/4)+1)))</f>
        <v/>
      </c>
      <c r="G31" s="19" t="str">
        <f t="array" ref="G31">IF(X31="","",INDEX('Inventory - P15'!$I$16:$I$27,(INT((X31-1)/4)+1)))</f>
        <v/>
      </c>
      <c r="H31" s="19" t="str">
        <f t="array" ref="H31">IF(X31="","",INDEX('Inventory - P15'!$J$16:$J$27,(INT((X31-1)/4)+1)))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19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P15'!$D$16:$D$27,(INT((X32-1)/4)+1)))</f>
        <v/>
      </c>
      <c r="F32" s="19" t="str">
        <f t="array" ref="F32">IF(X32="","",INDEX('Inventory - P15'!$E$16:$E$27,(INT((X32-1)/4)+1)))</f>
        <v/>
      </c>
      <c r="G32" s="19" t="str">
        <f t="array" ref="G32">IF(X32="","",INDEX('Inventory - P15'!$I$16:$I$27,(INT((X32-1)/4)+1)))</f>
        <v/>
      </c>
      <c r="H32" s="19" t="str">
        <f t="array" ref="H32">IF(X32="","",INDEX('Inventory - P15'!$J$16:$J$27,(INT((X32-1)/4)+1)))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19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P15'!$D$16:$D$27,(INT((X33-1)/4)+1)))</f>
        <v/>
      </c>
      <c r="F33" s="19" t="str">
        <f t="array" ref="F33">IF(X33="","",INDEX('Inventory - P15'!$E$16:$E$27,(INT((X33-1)/4)+1)))</f>
        <v/>
      </c>
      <c r="G33" s="19" t="str">
        <f t="array" ref="G33">IF(X33="","",INDEX('Inventory - P15'!$I$16:$I$27,(INT((X33-1)/4)+1)))</f>
        <v/>
      </c>
      <c r="H33" s="19" t="str">
        <f t="array" ref="H33">IF(X33="","",INDEX('Inventory - P15'!$J$16:$J$27,(INT((X33-1)/4)+1)))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19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P15'!$D$16:$D$27,(INT((X34-1)/4)+1)))</f>
        <v/>
      </c>
      <c r="F34" s="19" t="str">
        <f t="array" ref="F34">IF(X34="","",INDEX('Inventory - P15'!$E$16:$E$27,(INT((X34-1)/4)+1)))</f>
        <v/>
      </c>
      <c r="G34" s="19" t="str">
        <f t="array" ref="G34">IF(X34="","",INDEX('Inventory - P15'!$I$16:$I$27,(INT((X34-1)/4)+1)))</f>
        <v/>
      </c>
      <c r="H34" s="19" t="str">
        <f t="array" ref="H34">IF(X34="","",INDEX('Inventory - P15'!$J$16:$J$27,(INT((X34-1)/4)+1)))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19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P15'!$D$16:$D$27,(INT((X35-1)/4)+1)))</f>
        <v/>
      </c>
      <c r="F35" s="19" t="str">
        <f t="array" ref="F35">IF(X35="","",INDEX('Inventory - P15'!$E$16:$E$27,(INT((X35-1)/4)+1)))</f>
        <v/>
      </c>
      <c r="G35" s="19" t="str">
        <f t="array" ref="G35">IF(X35="","",INDEX('Inventory - P15'!$I$16:$I$27,(INT((X35-1)/4)+1)))</f>
        <v/>
      </c>
      <c r="H35" s="19" t="str">
        <f t="array" ref="H35">IF(X35="","",INDEX('Inventory - P15'!$J$16:$J$27,(INT((X35-1)/4)+1)))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19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P15'!$D$16:$D$27,(INT((X37-1)/4)+1)))</f>
        <v/>
      </c>
      <c r="F37" s="19" t="str">
        <f t="array" ref="F37">IF(X37="","",INDEX('Inventory - P15'!$E$16:$E$27,(INT((X37-1)/4)+1)))</f>
        <v/>
      </c>
      <c r="G37" s="19" t="str">
        <f t="array" ref="G37">IF(X37="","",INDEX('Inventory - P15'!$I$16:$I$27,(INT((X37-1)/4)+1)))</f>
        <v/>
      </c>
      <c r="H37" s="19" t="str">
        <f t="array" ref="H37">IF(X37="","",INDEX('Inventory - P15'!$J$16:$J$27,(INT((X37-1)/4)+1)))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19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P15'!$D$16:$D$27,(INT((X38-1)/4)+1)))</f>
        <v/>
      </c>
      <c r="F38" s="19" t="str">
        <f t="array" ref="F38">IF(X38="","",INDEX('Inventory - P15'!$E$16:$E$27,(INT((X38-1)/4)+1)))</f>
        <v/>
      </c>
      <c r="G38" s="19" t="str">
        <f t="array" ref="G38">IF(X38="","",INDEX('Inventory - P15'!$I$16:$I$27,(INT((X38-1)/4)+1)))</f>
        <v/>
      </c>
      <c r="H38" s="19" t="str">
        <f t="array" ref="H38">IF(X38="","",INDEX('Inventory - P15'!$J$16:$J$27,(INT((X38-1)/4)+1)))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19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P15'!$D$16:$D$27,(INT((X39-1)/4)+1)))</f>
        <v/>
      </c>
      <c r="F39" s="19" t="str">
        <f t="array" ref="F39">IF(X39="","",INDEX('Inventory - P15'!$E$16:$E$27,(INT((X39-1)/4)+1)))</f>
        <v/>
      </c>
      <c r="G39" s="19" t="str">
        <f t="array" ref="G39">IF(X39="","",INDEX('Inventory - P15'!$I$16:$I$27,(INT((X39-1)/4)+1)))</f>
        <v/>
      </c>
      <c r="H39" s="19" t="str">
        <f t="array" ref="H39">IF(X39="","",INDEX('Inventory - P15'!$J$16:$J$27,(INT((X39-1)/4)+1)))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19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P15'!$D$16:$D$27,(INT((X40-1)/4)+1)))</f>
        <v/>
      </c>
      <c r="F40" s="19" t="str">
        <f t="array" ref="F40">IF(X40="","",INDEX('Inventory - P15'!$E$16:$E$27,(INT((X40-1)/4)+1)))</f>
        <v/>
      </c>
      <c r="G40" s="19" t="str">
        <f t="array" ref="G40">IF(X40="","",INDEX('Inventory - P15'!$I$16:$I$27,(INT((X40-1)/4)+1)))</f>
        <v/>
      </c>
      <c r="H40" s="19" t="str">
        <f t="array" ref="H40">IF(X40="","",INDEX('Inventory - P15'!$J$16:$J$27,(INT((X40-1)/4)+1)))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19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P15'!$D$16:$D$27,(INT((X41-1)/4)+1)))</f>
        <v/>
      </c>
      <c r="F41" s="19" t="str">
        <f t="array" ref="F41">IF(X41="","",INDEX('Inventory - P15'!$E$16:$E$27,(INT((X41-1)/4)+1)))</f>
        <v/>
      </c>
      <c r="G41" s="19" t="str">
        <f t="array" ref="G41">IF(X41="","",INDEX('Inventory - P15'!$I$16:$I$27,(INT((X41-1)/4)+1)))</f>
        <v/>
      </c>
      <c r="H41" s="19" t="str">
        <f t="array" ref="H41">IF(X41="","",INDEX('Inventory - P15'!$J$16:$J$27,(INT((X41-1)/4)+1)))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19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P15'!$D$16:$D$27,(INT((X42-1)/4)+1)))</f>
        <v/>
      </c>
      <c r="F42" s="19" t="str">
        <f t="array" ref="F42">IF(X42="","",INDEX('Inventory - P15'!$E$16:$E$27,(INT((X42-1)/4)+1)))</f>
        <v/>
      </c>
      <c r="G42" s="19" t="str">
        <f t="array" ref="G42">IF(X42="","",INDEX('Inventory - P15'!$I$16:$I$27,(INT((X42-1)/4)+1)))</f>
        <v/>
      </c>
      <c r="H42" s="19" t="str">
        <f t="array" ref="H42">IF(X42="","",INDEX('Inventory - P15'!$J$16:$J$27,(INT((X42-1)/4)+1)))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19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P15'!$D$16:$D$27,(INT((X43-1)/4)+1)))</f>
        <v/>
      </c>
      <c r="F43" s="19" t="str">
        <f t="array" ref="F43">IF(X43="","",INDEX('Inventory - P15'!$E$16:$E$27,(INT((X43-1)/4)+1)))</f>
        <v/>
      </c>
      <c r="G43" s="19" t="str">
        <f t="array" ref="G43">IF(X43="","",INDEX('Inventory - P15'!$I$16:$I$27,(INT((X43-1)/4)+1)))</f>
        <v/>
      </c>
      <c r="H43" s="19" t="str">
        <f t="array" ref="H43">IF(X43="","",INDEX('Inventory - P15'!$J$16:$J$27,(INT((X43-1)/4)+1)))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19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P15'!$D$16:$D$27,(INT((X44-1)/4)+1)))</f>
        <v/>
      </c>
      <c r="F44" s="19" t="str">
        <f t="array" ref="F44">IF(X44="","",INDEX('Inventory - P15'!$E$16:$E$27,(INT((X44-1)/4)+1)))</f>
        <v/>
      </c>
      <c r="G44" s="19" t="str">
        <f t="array" ref="G44">IF(X44="","",INDEX('Inventory - P15'!$I$16:$I$27,(INT((X44-1)/4)+1)))</f>
        <v/>
      </c>
      <c r="H44" s="19" t="str">
        <f t="array" ref="H44">IF(X44="","",INDEX('Inventory - P15'!$J$16:$J$27,(INT((X44-1)/4)+1)))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19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P15'!$D$16:$D$27,(INT((X45-1)/4)+1)))</f>
        <v/>
      </c>
      <c r="F45" s="19" t="str">
        <f t="array" ref="F45">IF(X45="","",INDEX('Inventory - P15'!$E$16:$E$27,(INT((X45-1)/4)+1)))</f>
        <v/>
      </c>
      <c r="G45" s="19" t="str">
        <f t="array" ref="G45">IF(X45="","",INDEX('Inventory - P15'!$I$16:$I$27,(INT((X45-1)/4)+1)))</f>
        <v/>
      </c>
      <c r="H45" s="19" t="str">
        <f t="array" ref="H45">IF(X45="","",INDEX('Inventory - P15'!$J$16:$J$27,(INT((X45-1)/4)+1)))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19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P15'!$D$16:$D$27,(INT((X46-1)/4)+1)))</f>
        <v/>
      </c>
      <c r="F46" s="19" t="str">
        <f t="array" ref="F46">IF(X46="","",INDEX('Inventory - P15'!$E$16:$E$27,(INT((X46-1)/4)+1)))</f>
        <v/>
      </c>
      <c r="G46" s="19" t="str">
        <f t="array" ref="G46">IF(X46="","",INDEX('Inventory - P15'!$I$16:$I$27,(INT((X46-1)/4)+1)))</f>
        <v/>
      </c>
      <c r="H46" s="19" t="str">
        <f t="array" ref="H46">IF(X46="","",INDEX('Inventory - P15'!$J$16:$J$27,(INT((X46-1)/4)+1)))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19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P15'!$D$16:$D$27,(INT((X47-1)/4)+1)))</f>
        <v/>
      </c>
      <c r="F47" s="19" t="str">
        <f t="array" ref="F47">IF(X47="","",INDEX('Inventory - P15'!$E$16:$E$27,(INT((X47-1)/4)+1)))</f>
        <v/>
      </c>
      <c r="G47" s="19" t="str">
        <f t="array" ref="G47">IF(X47="","",INDEX('Inventory - P15'!$I$16:$I$27,(INT((X47-1)/4)+1)))</f>
        <v/>
      </c>
      <c r="H47" s="19" t="str">
        <f t="array" ref="H47">IF(X47="","",INDEX('Inventory - P15'!$J$16:$J$27,(INT((X47-1)/4)+1)))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19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P15'!$D$16:$D$27,(INT((X48-1)/4)+1)))</f>
        <v/>
      </c>
      <c r="F48" s="19" t="str">
        <f t="array" ref="F48">IF(X48="","",INDEX('Inventory - P15'!$E$16:$E$27,(INT((X48-1)/4)+1)))</f>
        <v/>
      </c>
      <c r="G48" s="19" t="str">
        <f t="array" ref="G48">IF(X48="","",INDEX('Inventory - P15'!$I$16:$I$27,(INT((X48-1)/4)+1)))</f>
        <v/>
      </c>
      <c r="H48" s="19" t="str">
        <f t="array" ref="H48">IF(X48="","",INDEX('Inventory - P15'!$J$16:$J$27,(INT((X48-1)/4)+1)))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19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P15'!$D$16:$D$27,(INT((X50-1)/4)+1)))</f>
        <v/>
      </c>
      <c r="F50" s="19" t="str">
        <f t="array" ref="F50">IF(X50="","",INDEX('Inventory - P15'!$E$16:$E$27,(INT((X50-1)/4)+1)))</f>
        <v/>
      </c>
      <c r="G50" s="19" t="str">
        <f t="array" ref="G50">IF(X50="","",INDEX('Inventory - P15'!$I$16:$I$27,(INT((X50-1)/4)+1)))</f>
        <v/>
      </c>
      <c r="H50" s="19" t="str">
        <f t="array" ref="H50">IF(X50="","",INDEX('Inventory - P15'!$J$16:$J$27,(INT((X50-1)/4)+1)))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19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P15'!$D$16:$D$27,(INT((X51-1)/4)+1)))</f>
        <v/>
      </c>
      <c r="F51" s="19" t="str">
        <f t="array" ref="F51">IF(X51="","",INDEX('Inventory - P15'!$E$16:$E$27,(INT((X51-1)/4)+1)))</f>
        <v/>
      </c>
      <c r="G51" s="19" t="str">
        <f t="array" ref="G51">IF(X51="","",INDEX('Inventory - P15'!$I$16:$I$27,(INT((X51-1)/4)+1)))</f>
        <v/>
      </c>
      <c r="H51" s="19" t="str">
        <f t="array" ref="H51">IF(X51="","",INDEX('Inventory - P15'!$J$16:$J$27,(INT((X51-1)/4)+1)))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19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P15'!$D$16:$D$27,(INT((X52-1)/4)+1)))</f>
        <v/>
      </c>
      <c r="F52" s="19" t="str">
        <f t="array" ref="F52">IF(X52="","",INDEX('Inventory - P15'!$E$16:$E$27,(INT((X52-1)/4)+1)))</f>
        <v/>
      </c>
      <c r="G52" s="19" t="str">
        <f t="array" ref="G52">IF(X52="","",INDEX('Inventory - P15'!$I$16:$I$27,(INT((X52-1)/4)+1)))</f>
        <v/>
      </c>
      <c r="H52" s="19" t="str">
        <f t="array" ref="H52">IF(X52="","",INDEX('Inventory - P15'!$J$16:$J$27,(INT((X52-1)/4)+1)))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19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P15'!$D$16:$D$27,(INT((X53-1)/4)+1)))</f>
        <v/>
      </c>
      <c r="F53" s="19" t="str">
        <f t="array" ref="F53">IF(X53="","",INDEX('Inventory - P15'!$E$16:$E$27,(INT((X53-1)/4)+1)))</f>
        <v/>
      </c>
      <c r="G53" s="19" t="str">
        <f t="array" ref="G53">IF(X53="","",INDEX('Inventory - P15'!$I$16:$I$27,(INT((X53-1)/4)+1)))</f>
        <v/>
      </c>
      <c r="H53" s="19" t="str">
        <f t="array" ref="H53">IF(X53="","",INDEX('Inventory - P15'!$J$16:$J$27,(INT((X53-1)/4)+1)))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19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P15'!$D$16:$D$27,(INT((X54-1)/4)+1)))</f>
        <v/>
      </c>
      <c r="F54" s="19" t="str">
        <f t="array" ref="F54">IF(X54="","",INDEX('Inventory - P15'!$E$16:$E$27,(INT((X54-1)/4)+1)))</f>
        <v/>
      </c>
      <c r="G54" s="19" t="str">
        <f t="array" ref="G54">IF(X54="","",INDEX('Inventory - P15'!$I$16:$I$27,(INT((X54-1)/4)+1)))</f>
        <v/>
      </c>
      <c r="H54" s="19" t="str">
        <f t="array" ref="H54">IF(X54="","",INDEX('Inventory - P15'!$J$16:$J$27,(INT((X54-1)/4)+1)))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19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P15'!$D$16:$D$27,(INT((X55-1)/4)+1)))</f>
        <v/>
      </c>
      <c r="F55" s="19" t="str">
        <f t="array" ref="F55">IF(X55="","",INDEX('Inventory - P15'!$E$16:$E$27,(INT((X55-1)/4)+1)))</f>
        <v/>
      </c>
      <c r="G55" s="19" t="str">
        <f t="array" ref="G55">IF(X55="","",INDEX('Inventory - P15'!$I$16:$I$27,(INT((X55-1)/4)+1)))</f>
        <v/>
      </c>
      <c r="H55" s="19" t="str">
        <f t="array" ref="H55">IF(X55="","",INDEX('Inventory - P15'!$J$16:$J$27,(INT((X55-1)/4)+1)))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19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P15'!$D$16:$D$27,(INT((X56-1)/4)+1)))</f>
        <v/>
      </c>
      <c r="F56" s="19" t="str">
        <f t="array" ref="F56">IF(X56="","",INDEX('Inventory - P15'!$E$16:$E$27,(INT((X56-1)/4)+1)))</f>
        <v/>
      </c>
      <c r="G56" s="19" t="str">
        <f t="array" ref="G56">IF(X56="","",INDEX('Inventory - P15'!$I$16:$I$27,(INT((X56-1)/4)+1)))</f>
        <v/>
      </c>
      <c r="H56" s="19" t="str">
        <f t="array" ref="H56">IF(X56="","",INDEX('Inventory - P15'!$J$16:$J$27,(INT((X56-1)/4)+1)))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19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P15'!$D$16:$D$27,(INT((X57-1)/4)+1)))</f>
        <v/>
      </c>
      <c r="F57" s="19" t="str">
        <f t="array" ref="F57">IF(X57="","",INDEX('Inventory - P15'!$E$16:$E$27,(INT((X57-1)/4)+1)))</f>
        <v/>
      </c>
      <c r="G57" s="19" t="str">
        <f t="array" ref="G57">IF(X57="","",INDEX('Inventory - P15'!$I$16:$I$27,(INT((X57-1)/4)+1)))</f>
        <v/>
      </c>
      <c r="H57" s="19" t="str">
        <f t="array" ref="H57">IF(X57="","",INDEX('Inventory - P15'!$J$16:$J$27,(INT((X57-1)/4)+1)))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19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P15'!$D$16:$D$27,(INT((X58-1)/4)+1)))</f>
        <v/>
      </c>
      <c r="F58" s="19" t="str">
        <f t="array" ref="F58">IF(X58="","",INDEX('Inventory - P15'!$E$16:$E$27,(INT((X58-1)/4)+1)))</f>
        <v/>
      </c>
      <c r="G58" s="19" t="str">
        <f t="array" ref="G58">IF(X58="","",INDEX('Inventory - P15'!$I$16:$I$27,(INT((X58-1)/4)+1)))</f>
        <v/>
      </c>
      <c r="H58" s="19" t="str">
        <f t="array" ref="H58">IF(X58="","",INDEX('Inventory - P15'!$J$16:$J$27,(INT((X58-1)/4)+1)))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19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P15'!$D$16:$D$27,(INT((X59-1)/4)+1)))</f>
        <v/>
      </c>
      <c r="F59" s="19" t="str">
        <f t="array" ref="F59">IF(X59="","",INDEX('Inventory - P15'!$E$16:$E$27,(INT((X59-1)/4)+1)))</f>
        <v/>
      </c>
      <c r="G59" s="19" t="str">
        <f t="array" ref="G59">IF(X59="","",INDEX('Inventory - P15'!$I$16:$I$27,(INT((X59-1)/4)+1)))</f>
        <v/>
      </c>
      <c r="H59" s="19" t="str">
        <f t="array" ref="H59">IF(X59="","",INDEX('Inventory - P15'!$J$16:$J$27,(INT((X59-1)/4)+1)))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19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P15'!$D$16:$D$27,(INT((X60-1)/4)+1)))</f>
        <v/>
      </c>
      <c r="F60" s="19" t="str">
        <f t="array" ref="F60">IF(X60="","",INDEX('Inventory - P15'!$E$16:$E$27,(INT((X60-1)/4)+1)))</f>
        <v/>
      </c>
      <c r="G60" s="19" t="str">
        <f t="array" ref="G60">IF(X60="","",INDEX('Inventory - P15'!$I$16:$I$27,(INT((X60-1)/4)+1)))</f>
        <v/>
      </c>
      <c r="H60" s="19" t="str">
        <f t="array" ref="H60">IF(X60="","",INDEX('Inventory - P15'!$J$16:$J$27,(INT((X60-1)/4)+1)))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19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P15'!$D$16:$D$27,(INT((X61-1)/4)+1)))</f>
        <v/>
      </c>
      <c r="F61" s="19" t="str">
        <f t="array" ref="F61">IF(X61="","",INDEX('Inventory - P15'!$E$16:$E$27,(INT((X61-1)/4)+1)))</f>
        <v/>
      </c>
      <c r="G61" s="19" t="str">
        <f t="array" ref="G61">IF(X61="","",INDEX('Inventory - P15'!$I$16:$I$27,(INT((X61-1)/4)+1)))</f>
        <v/>
      </c>
      <c r="H61" s="19" t="str">
        <f t="array" ref="H61">IF(X61="","",INDEX('Inventory - P15'!$J$16:$J$27,(INT((X61-1)/4)+1)))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P15'!E16&lt;1,'Inventory - P15'!F16="",'Inventory - P15'!G16=""),9,MOD('Inventory - P15'!F16+0*'Inventory - P15'!G16/24,1))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P15'!E16&lt;2,'Inventory - P15'!F16="",'Inventory - P15'!G16=""),9,MOD('Inventory - P15'!F16+1*'Inventory - P15'!G16/24,1))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P15'!E16&lt;3,'Inventory - P15'!F16="",'Inventory - P15'!G16=""),9,MOD('Inventory - P15'!F16+2*'Inventory - P15'!G16/24,1))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P15'!E16&lt;4,'Inventory - P15'!F16="",'Inventory - P15'!G16=""),9,MOD('Inventory - P15'!F16+3*'Inventory - P15'!G16/24,1))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P15'!E17&lt;1,'Inventory - P15'!F17="",'Inventory - P15'!G17=""),9,MOD('Inventory - P15'!F17+0*'Inventory - P15'!G17/24,1))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P15'!E17&lt;2,'Inventory - P15'!F17="",'Inventory - P15'!G17=""),9,MOD('Inventory - P15'!F17+1*'Inventory - P15'!G17/24,1))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P15'!E17&lt;3,'Inventory - P15'!F17="",'Inventory - P15'!G17=""),9,MOD('Inventory - P15'!F17+2*'Inventory - P15'!G17/24,1))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P15'!E17&lt;4,'Inventory - P15'!F17="",'Inventory - P15'!G17=""),9,MOD('Inventory - P15'!F17+3*'Inventory - P15'!G17/24,1))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P15'!E18&lt;1,'Inventory - P15'!F18="",'Inventory - P15'!G18=""),9,MOD('Inventory - P15'!F18+0*'Inventory - P15'!G18/24,1))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P15'!E18&lt;2,'Inventory - P15'!F18="",'Inventory - P15'!G18=""),9,MOD('Inventory - P15'!F18+1*'Inventory - P15'!G18/24,1))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P15'!E18&lt;3,'Inventory - P15'!F18="",'Inventory - P15'!G18=""),9,MOD('Inventory - P15'!F18+2*'Inventory - P15'!G18/24,1))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P15'!E18&lt;4,'Inventory - P15'!F18="",'Inventory - P15'!G18=""),9,MOD('Inventory - P15'!F18+3*'Inventory - P15'!G18/24,1))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P15'!E19&lt;1,'Inventory - P15'!F19="",'Inventory - P15'!G19=""),9,MOD('Inventory - P15'!F19+0*'Inventory - P15'!G19/24,1))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P15'!E19&lt;2,'Inventory - P15'!F19="",'Inventory - P15'!G19=""),9,MOD('Inventory - P15'!F19+1*'Inventory - P15'!G19/24,1))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P15'!E19&lt;3,'Inventory - P15'!F19="",'Inventory - P15'!G19=""),9,MOD('Inventory - P15'!F19+2*'Inventory - P15'!G19/24,1))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P15'!E19&lt;4,'Inventory - P15'!F19="",'Inventory - P15'!G19=""),9,MOD('Inventory - P15'!F19+3*'Inventory - P15'!G19/24,1))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P15'!E20&lt;1,'Inventory - P15'!F20="",'Inventory - P15'!G20=""),9,MOD('Inventory - P15'!F20+0*'Inventory - P15'!G20/24,1))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P15'!E20&lt;2,'Inventory - P15'!F20="",'Inventory - P15'!G20=""),9,MOD('Inventory - P15'!F20+1*'Inventory - P15'!G20/24,1))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P15'!E20&lt;3,'Inventory - P15'!F20="",'Inventory - P15'!G20=""),9,MOD('Inventory - P15'!F20+2*'Inventory - P15'!G20/24,1))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P15'!E20&lt;4,'Inventory - P15'!F20="",'Inventory - P15'!G20=""),9,MOD('Inventory - P15'!F20+3*'Inventory - P15'!G20/24,1))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P15'!E21&lt;1,'Inventory - P15'!F21="",'Inventory - P15'!G21=""),9,MOD('Inventory - P15'!F21+0*'Inventory - P15'!G21/24,1))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P15'!E21&lt;2,'Inventory - P15'!F21="",'Inventory - P15'!G21=""),9,MOD('Inventory - P15'!F21+1*'Inventory - P15'!G21/24,1))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P15'!E21&lt;3,'Inventory - P15'!F21="",'Inventory - P15'!G21=""),9,MOD('Inventory - P15'!F21+2*'Inventory - P15'!G21/24,1))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P15'!E21&lt;4,'Inventory - P15'!F21="",'Inventory - P15'!G21=""),9,MOD('Inventory - P15'!F21+3*'Inventory - P15'!G21/24,1))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P15'!E22&lt;1,'Inventory - P15'!F22="",'Inventory - P15'!G22=""),9,MOD('Inventory - P15'!F22+0*'Inventory - P15'!G22/24,1))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P15'!E22&lt;2,'Inventory - P15'!F22="",'Inventory - P15'!G22=""),9,MOD('Inventory - P15'!F22+1*'Inventory - P15'!G22/24,1))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P15'!E22&lt;3,'Inventory - P15'!F22="",'Inventory - P15'!G22=""),9,MOD('Inventory - P15'!F22+2*'Inventory - P15'!G22/24,1))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P15'!E22&lt;4,'Inventory - P15'!F22="",'Inventory - P15'!G22=""),9,MOD('Inventory - P15'!F22+3*'Inventory - P15'!G22/24,1))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P15'!E23&lt;1,'Inventory - P15'!F23="",'Inventory - P15'!G23=""),9,MOD('Inventory - P15'!F23+0*'Inventory - P15'!G23/24,1))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P15'!E23&lt;2,'Inventory - P15'!F23="",'Inventory - P15'!G23=""),9,MOD('Inventory - P15'!F23+1*'Inventory - P15'!G23/24,1))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P15'!E23&lt;3,'Inventory - P15'!F23="",'Inventory - P15'!G23=""),9,MOD('Inventory - P15'!F23+2*'Inventory - P15'!G23/24,1))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P15'!E23&lt;4,'Inventory - P15'!F23="",'Inventory - P15'!G23=""),9,MOD('Inventory - P15'!F23+3*'Inventory - P15'!G23/24,1))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P15'!E24&lt;1,'Inventory - P15'!F24="",'Inventory - P15'!G24=""),9,MOD('Inventory - P15'!F24+0*'Inventory - P15'!G24/24,1))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P15'!E24&lt;2,'Inventory - P15'!F24="",'Inventory - P15'!G24=""),9,MOD('Inventory - P15'!F24+1*'Inventory - P15'!G24/24,1))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P15'!E24&lt;3,'Inventory - P15'!F24="",'Inventory - P15'!G24=""),9,MOD('Inventory - P15'!F24+2*'Inventory - P15'!G24/24,1))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P15'!E24&lt;4,'Inventory - P15'!F24="",'Inventory - P15'!G24=""),9,MOD('Inventory - P15'!F24+3*'Inventory - P15'!G24/24,1))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P15'!E25&lt;1,'Inventory - P15'!F25="",'Inventory - P15'!G25=""),9,MOD('Inventory - P15'!F25+0*'Inventory - P15'!G25/24,1))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P15'!E25&lt;2,'Inventory - P15'!F25="",'Inventory - P15'!G25=""),9,MOD('Inventory - P15'!F25+1*'Inventory - P15'!G25/24,1))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P15'!E25&lt;3,'Inventory - P15'!F25="",'Inventory - P15'!G25=""),9,MOD('Inventory - P15'!F25+2*'Inventory - P15'!G25/24,1))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P15'!E25&lt;4,'Inventory - P15'!F25="",'Inventory - P15'!G25=""),9,MOD('Inventory - P15'!F25+3*'Inventory - P15'!G25/24,1))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P15'!E26&lt;1,'Inventory - P15'!F26="",'Inventory - P15'!G26=""),9,MOD('Inventory - P15'!F26+0*'Inventory - P15'!G26/24,1))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P15'!E26&lt;2,'Inventory - P15'!F26="",'Inventory - P15'!G26=""),9,MOD('Inventory - P15'!F26+1*'Inventory - P15'!G26/24,1))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P15'!E26&lt;3,'Inventory - P15'!F26="",'Inventory - P15'!G26=""),9,MOD('Inventory - P15'!F26+2*'Inventory - P15'!G26/24,1))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P15'!E26&lt;4,'Inventory - P15'!F26="",'Inventory - P15'!G26=""),9,MOD('Inventory - P15'!F26+3*'Inventory - P15'!G26/24,1))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P15'!E27&lt;1,'Inventory - P15'!F27="",'Inventory - P15'!G27=""),9,MOD('Inventory - P15'!F27+0*'Inventory - P15'!G27/24,1))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P15'!E27&lt;2,'Inventory - P15'!F27="",'Inventory - P15'!G27=""),9,MOD('Inventory - P15'!F27+1*'Inventory - P15'!G27/24,1))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P15'!E27&lt;3,'Inventory - P15'!F27="",'Inventory - P15'!G27=""),9,MOD('Inventory - P15'!F27+2*'Inventory - P15'!G27/24,1))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P15'!E27&lt;4,'Inventory - P15'!F27="",'Inventory - P15'!G27=""),9,MOD('Inventory - P15'!F27+3*'Inventory - P15'!G27/24,1))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 outlineLevelCol="1"/>
  <cols>
    <col customWidth="1" min="1" max="1" width="7.0"/>
    <col customWidth="1" min="2" max="2" width="20.0"/>
    <col customWidth="1" min="3" max="3" width="12.0"/>
    <col customWidth="1" min="4" max="12" width="9.0"/>
    <col customWidth="1" min="13" max="13" width="8.71"/>
    <col customWidth="1" min="14" max="14" width="20.0"/>
    <col customWidth="1" min="15" max="15" width="14.0"/>
    <col customWidth="1" min="16" max="26" width="8.71"/>
  </cols>
  <sheetData>
    <row r="1" ht="15.0" customHeight="1">
      <c r="A1" s="89" t="s">
        <v>181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 s="92" t="s">
        <v>182</v>
      </c>
      <c r="O1" s="3"/>
    </row>
    <row r="2" ht="21.75" customHeight="1">
      <c r="A2" s="93" t="s">
        <v>183</v>
      </c>
      <c r="L2" s="94"/>
      <c r="N2" s="95" t="s">
        <v>184</v>
      </c>
      <c r="O2" s="96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ht="13.5" customHeight="1">
      <c r="A3" s="97" t="s">
        <v>185</v>
      </c>
      <c r="L3" s="94"/>
      <c r="N3" s="95" t="s">
        <v>186</v>
      </c>
      <c r="O3" s="96" t="str">
        <f>IF('Client Needs Tracker'!S20="","","INV-"&amp;SUBSTITUTE('Client Needs Tracker'!S20," ",""))</f>
        <v>INV-F-4B</v>
      </c>
    </row>
    <row r="4" ht="15.0" customHeight="1">
      <c r="A4" s="98"/>
      <c r="B4" s="3"/>
      <c r="C4" s="3"/>
      <c r="D4" s="3"/>
      <c r="E4" s="3"/>
      <c r="F4" s="3"/>
      <c r="G4" s="3"/>
      <c r="H4" s="3"/>
      <c r="I4" s="3"/>
      <c r="J4" s="3"/>
      <c r="K4" s="99"/>
      <c r="L4" s="99"/>
      <c r="N4" s="3"/>
      <c r="O4" s="3"/>
    </row>
    <row r="5" ht="15.0" customHeight="1">
      <c r="A5" s="100" t="s">
        <v>187</v>
      </c>
      <c r="F5" s="92" t="s">
        <v>5</v>
      </c>
      <c r="L5" s="94"/>
      <c r="N5" s="101"/>
      <c r="O5" s="102"/>
    </row>
    <row r="6" ht="33.75" customHeight="1">
      <c r="A6" s="103" t="str">
        <f>IF('Client Needs Tracker'!B20="","(Add client on Client Needs Tracker, row 20)",'Client Needs Tracker'!B20)</f>
        <v>(Add client on Client Needs Tracker, row 20)</v>
      </c>
      <c r="B6" s="104"/>
      <c r="C6" s="104"/>
      <c r="D6" s="104"/>
      <c r="E6" s="104"/>
      <c r="F6" s="105" t="str">
        <f>'Client Needs Tracker'!A20</f>
        <v/>
      </c>
      <c r="G6" s="104"/>
      <c r="H6" s="104"/>
      <c r="I6" s="104"/>
      <c r="J6" s="104"/>
      <c r="K6" s="104"/>
      <c r="L6" s="106"/>
      <c r="N6" s="3"/>
      <c r="O6" s="3"/>
    </row>
    <row r="7" ht="15.0" customHeight="1">
      <c r="A7" s="100" t="s">
        <v>24</v>
      </c>
      <c r="F7" s="92" t="s">
        <v>23</v>
      </c>
      <c r="L7" s="94"/>
      <c r="N7" s="3"/>
      <c r="O7" s="3"/>
    </row>
    <row r="8" ht="27.75" customHeight="1">
      <c r="A8" s="107" t="str">
        <f>IF('Client Needs Tracker'!C20="","",'Client Needs Tracker'!C20)</f>
        <v/>
      </c>
      <c r="B8" s="104"/>
      <c r="C8" s="104"/>
      <c r="D8" s="104"/>
      <c r="E8" s="104"/>
      <c r="F8" s="108" t="str">
        <f>'Client Needs Tracker'!E20</f>
        <v/>
      </c>
      <c r="G8" s="104"/>
      <c r="H8" s="104"/>
      <c r="I8" s="104"/>
      <c r="J8" s="104"/>
      <c r="K8" s="104"/>
      <c r="L8" s="106"/>
      <c r="N8" s="3"/>
      <c r="O8" s="3"/>
    </row>
    <row r="9" ht="15.0" customHeight="1">
      <c r="A9" s="100" t="s">
        <v>10</v>
      </c>
      <c r="F9" s="92" t="s">
        <v>12</v>
      </c>
      <c r="L9" s="94"/>
      <c r="N9" s="3"/>
      <c r="O9" s="3"/>
    </row>
    <row r="10" ht="24.0" customHeight="1">
      <c r="A10" s="109" t="str">
        <f>IF('Client Needs Tracker'!F20="","",'Client Needs Tracker'!F20)</f>
        <v/>
      </c>
      <c r="B10" s="104"/>
      <c r="C10" s="104"/>
      <c r="D10" s="104"/>
      <c r="E10" s="104"/>
      <c r="F10" s="110" t="str">
        <f>IF('Client Status Board'!G20="","",'Client Status Board'!G20)</f>
        <v/>
      </c>
      <c r="G10" s="104"/>
      <c r="H10" s="104"/>
      <c r="I10" s="104"/>
      <c r="J10" s="104"/>
      <c r="K10" s="104"/>
      <c r="L10" s="106"/>
      <c r="N10" s="3"/>
      <c r="O10" s="3"/>
    </row>
    <row r="11" ht="15.0" customHeight="1">
      <c r="A11" s="100" t="s">
        <v>19</v>
      </c>
      <c r="L11" s="94"/>
      <c r="N11" s="3"/>
      <c r="O11" s="3"/>
    </row>
    <row r="12" ht="24.0" customHeight="1">
      <c r="A12" s="109" t="str">
        <f>IF('Client Status Board'!L20="","",'Client Status Board'!L20)</f>
        <v/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6"/>
      <c r="N12" s="3"/>
      <c r="O12" s="3"/>
    </row>
    <row r="13" ht="15.0" customHeight="1">
      <c r="A13" s="100" t="s">
        <v>216</v>
      </c>
      <c r="L13" s="94"/>
      <c r="N13" s="3"/>
      <c r="O13" s="3"/>
    </row>
    <row r="14" ht="24.0" customHeight="1">
      <c r="A14" s="147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  <c r="N14" s="3"/>
      <c r="O14" s="3"/>
    </row>
    <row r="15" ht="25.5" customHeight="1">
      <c r="A15" s="115" t="s">
        <v>189</v>
      </c>
      <c r="B15" s="16" t="s">
        <v>190</v>
      </c>
      <c r="C15" s="16" t="s">
        <v>191</v>
      </c>
      <c r="D15" s="16" t="s">
        <v>192</v>
      </c>
      <c r="E15" s="16" t="s">
        <v>193</v>
      </c>
      <c r="F15" s="16" t="s">
        <v>194</v>
      </c>
      <c r="G15" s="16" t="s">
        <v>195</v>
      </c>
      <c r="H15" s="16" t="s">
        <v>196</v>
      </c>
      <c r="I15" s="16" t="s">
        <v>197</v>
      </c>
      <c r="J15" s="16" t="s">
        <v>198</v>
      </c>
      <c r="K15" s="16" t="s">
        <v>199</v>
      </c>
      <c r="L15" s="116" t="s">
        <v>200</v>
      </c>
      <c r="N15" s="3"/>
      <c r="O15" s="3"/>
    </row>
    <row r="16" ht="15.0" customHeight="1">
      <c r="A16" s="121"/>
      <c r="B16" s="46"/>
      <c r="C16" s="19"/>
      <c r="D16" s="19"/>
      <c r="E16" s="19"/>
      <c r="F16" s="122"/>
      <c r="G16" s="19"/>
      <c r="H16" s="19" t="str">
        <f t="shared" ref="H16:H27" si="1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19"/>
      <c r="J16" s="19"/>
      <c r="K16" s="19"/>
      <c r="L16" s="12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3"/>
      <c r="O16" s="3"/>
    </row>
    <row r="17" ht="15.0" customHeight="1">
      <c r="A17" s="121"/>
      <c r="B17" s="46"/>
      <c r="C17" s="19"/>
      <c r="D17" s="19"/>
      <c r="E17" s="19"/>
      <c r="F17" s="122"/>
      <c r="G17" s="19"/>
      <c r="H17" s="19" t="str">
        <f t="shared" si="1"/>
        <v/>
      </c>
      <c r="I17" s="19"/>
      <c r="J17" s="19"/>
      <c r="K17" s="19"/>
      <c r="L17" s="12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7" s="3"/>
      <c r="O17" s="3"/>
    </row>
    <row r="18" ht="15.0" customHeight="1">
      <c r="A18" s="121"/>
      <c r="B18" s="46"/>
      <c r="C18" s="19"/>
      <c r="D18" s="19"/>
      <c r="E18" s="19"/>
      <c r="F18" s="122"/>
      <c r="G18" s="19"/>
      <c r="H18" s="19" t="str">
        <f t="shared" si="1"/>
        <v/>
      </c>
      <c r="I18" s="19"/>
      <c r="J18" s="19"/>
      <c r="K18" s="19"/>
      <c r="L18" s="12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8" s="3"/>
      <c r="O18" s="3"/>
    </row>
    <row r="19" ht="15.0" customHeight="1">
      <c r="A19" s="121"/>
      <c r="B19" s="46"/>
      <c r="C19" s="19"/>
      <c r="D19" s="19"/>
      <c r="E19" s="19"/>
      <c r="F19" s="122"/>
      <c r="G19" s="19"/>
      <c r="H19" s="19" t="str">
        <f t="shared" si="1"/>
        <v/>
      </c>
      <c r="I19" s="19"/>
      <c r="J19" s="19"/>
      <c r="K19" s="19"/>
      <c r="L19" s="12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9" s="3"/>
      <c r="O19" s="3"/>
    </row>
    <row r="20" ht="15.0" customHeight="1">
      <c r="A20" s="121"/>
      <c r="B20" s="46"/>
      <c r="C20" s="19"/>
      <c r="D20" s="19"/>
      <c r="E20" s="19"/>
      <c r="F20" s="122"/>
      <c r="G20" s="19"/>
      <c r="H20" s="19" t="str">
        <f t="shared" si="1"/>
        <v/>
      </c>
      <c r="I20" s="19"/>
      <c r="J20" s="19"/>
      <c r="K20" s="19"/>
      <c r="L20" s="12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20" s="3"/>
      <c r="O20" s="3"/>
    </row>
    <row r="21" ht="15.0" customHeight="1">
      <c r="A21" s="121"/>
      <c r="B21" s="46"/>
      <c r="C21" s="19"/>
      <c r="D21" s="19"/>
      <c r="E21" s="19"/>
      <c r="F21" s="122"/>
      <c r="G21" s="19"/>
      <c r="H21" s="19" t="str">
        <f t="shared" si="1"/>
        <v/>
      </c>
      <c r="I21" s="19"/>
      <c r="J21" s="19"/>
      <c r="K21" s="19"/>
      <c r="L21" s="12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21" s="3"/>
      <c r="O21" s="3"/>
    </row>
    <row r="22" ht="15.0" customHeight="1">
      <c r="A22" s="121"/>
      <c r="B22" s="46"/>
      <c r="C22" s="19"/>
      <c r="D22" s="19"/>
      <c r="E22" s="19"/>
      <c r="F22" s="122"/>
      <c r="G22" s="19"/>
      <c r="H22" s="19" t="str">
        <f t="shared" si="1"/>
        <v/>
      </c>
      <c r="I22" s="19"/>
      <c r="J22" s="19"/>
      <c r="K22" s="19"/>
      <c r="L22" s="12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22" s="3"/>
      <c r="O22" s="3"/>
    </row>
    <row r="23" ht="15.0" customHeight="1">
      <c r="A23" s="121"/>
      <c r="B23" s="46"/>
      <c r="C23" s="19"/>
      <c r="D23" s="19"/>
      <c r="E23" s="19"/>
      <c r="F23" s="122"/>
      <c r="G23" s="19"/>
      <c r="H23" s="19" t="str">
        <f t="shared" si="1"/>
        <v/>
      </c>
      <c r="I23" s="19"/>
      <c r="J23" s="19"/>
      <c r="K23" s="19"/>
      <c r="L23" s="12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23" s="3"/>
      <c r="O23" s="3"/>
    </row>
    <row r="24" ht="15.0" customHeight="1">
      <c r="A24" s="121"/>
      <c r="B24" s="46"/>
      <c r="C24" s="19"/>
      <c r="D24" s="19"/>
      <c r="E24" s="19"/>
      <c r="F24" s="122"/>
      <c r="G24" s="19"/>
      <c r="H24" s="19" t="str">
        <f t="shared" si="1"/>
        <v/>
      </c>
      <c r="I24" s="19"/>
      <c r="J24" s="19"/>
      <c r="K24" s="19"/>
      <c r="L24" s="12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24" s="3"/>
      <c r="O24" s="3"/>
    </row>
    <row r="25" ht="15.0" customHeight="1">
      <c r="A25" s="121"/>
      <c r="B25" s="46"/>
      <c r="C25" s="19"/>
      <c r="D25" s="19"/>
      <c r="E25" s="19"/>
      <c r="F25" s="122"/>
      <c r="G25" s="19"/>
      <c r="H25" s="19" t="str">
        <f t="shared" si="1"/>
        <v/>
      </c>
      <c r="I25" s="19"/>
      <c r="J25" s="19"/>
      <c r="K25" s="19"/>
      <c r="L25" s="12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25" s="3"/>
      <c r="O25" s="3"/>
    </row>
    <row r="26" ht="15.0" customHeight="1">
      <c r="A26" s="121"/>
      <c r="B26" s="46"/>
      <c r="C26" s="19"/>
      <c r="D26" s="19"/>
      <c r="E26" s="19"/>
      <c r="F26" s="122"/>
      <c r="G26" s="19"/>
      <c r="H26" s="19" t="str">
        <f t="shared" si="1"/>
        <v/>
      </c>
      <c r="I26" s="19"/>
      <c r="J26" s="19"/>
      <c r="K26" s="19"/>
      <c r="L26" s="12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26" s="3"/>
      <c r="O26" s="3"/>
    </row>
    <row r="27" ht="15.0" customHeight="1">
      <c r="A27" s="121"/>
      <c r="B27" s="46"/>
      <c r="C27" s="19"/>
      <c r="D27" s="19"/>
      <c r="E27" s="19"/>
      <c r="F27" s="122"/>
      <c r="G27" s="19"/>
      <c r="H27" s="19" t="str">
        <f t="shared" si="1"/>
        <v/>
      </c>
      <c r="I27" s="19"/>
      <c r="J27" s="19"/>
      <c r="K27" s="19"/>
      <c r="L27" s="12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27" s="3"/>
      <c r="O27" s="3"/>
    </row>
    <row r="28" ht="15.0" customHeight="1">
      <c r="A28" s="98"/>
      <c r="B28" s="3"/>
      <c r="C28" s="3"/>
      <c r="D28" s="3"/>
      <c r="E28" s="3"/>
      <c r="F28" s="3"/>
      <c r="G28" s="3"/>
      <c r="H28" s="3"/>
      <c r="I28" s="3"/>
      <c r="J28" s="3"/>
      <c r="K28" s="99"/>
      <c r="L28" s="99"/>
      <c r="N28" s="3"/>
      <c r="O28" s="3"/>
    </row>
    <row r="29" ht="15.0" customHeight="1">
      <c r="A29" s="123" t="s">
        <v>203</v>
      </c>
      <c r="L29" s="94"/>
      <c r="N29" s="3"/>
      <c r="O29" s="3"/>
    </row>
    <row r="30" ht="15.0" customHeight="1">
      <c r="A30" s="98"/>
      <c r="B30" s="3"/>
      <c r="C30" s="3"/>
      <c r="D30" s="3"/>
      <c r="E30" s="3"/>
      <c r="F30" s="3"/>
      <c r="G30" s="3"/>
      <c r="H30" s="3"/>
      <c r="I30" s="3"/>
      <c r="J30" s="3"/>
      <c r="K30" s="99"/>
      <c r="L30" s="99"/>
      <c r="N30" s="3"/>
      <c r="O30" s="3"/>
    </row>
    <row r="31" ht="15.0" customHeight="1">
      <c r="A31" s="124" t="s">
        <v>204</v>
      </c>
      <c r="G31" s="125" t="s">
        <v>205</v>
      </c>
      <c r="L31" s="94"/>
      <c r="N31" s="3"/>
      <c r="O31" s="3"/>
    </row>
    <row r="32" ht="15.0" customHeight="1">
      <c r="A32" s="98"/>
      <c r="B32" s="3"/>
      <c r="C32" s="3"/>
      <c r="D32" s="3"/>
      <c r="E32" s="3"/>
      <c r="F32" s="3"/>
      <c r="G32" s="3"/>
      <c r="H32" s="3"/>
      <c r="I32" s="3"/>
      <c r="J32" s="3"/>
      <c r="K32" s="99"/>
      <c r="L32" s="99"/>
      <c r="N32" s="3"/>
      <c r="O32" s="3"/>
    </row>
    <row r="33" ht="15.0" customHeight="1">
      <c r="A33" s="124" t="s">
        <v>206</v>
      </c>
      <c r="G33" s="125" t="s">
        <v>205</v>
      </c>
      <c r="L33" s="94"/>
      <c r="N33" s="3"/>
      <c r="O33" s="3"/>
    </row>
    <row r="34" ht="15.0" customHeight="1">
      <c r="A34" s="98"/>
      <c r="B34" s="3"/>
      <c r="C34" s="3"/>
      <c r="D34" s="3"/>
      <c r="E34" s="3"/>
      <c r="F34" s="3"/>
      <c r="G34" s="3"/>
      <c r="H34" s="3"/>
      <c r="I34" s="3"/>
      <c r="J34" s="3"/>
      <c r="K34" s="99"/>
      <c r="L34" s="99"/>
      <c r="N34" s="3"/>
      <c r="O34" s="3"/>
    </row>
    <row r="35" ht="15.0" customHeight="1">
      <c r="A35" s="126" t="s">
        <v>207</v>
      </c>
      <c r="B35" s="127"/>
      <c r="C35" s="127"/>
      <c r="D35" s="127"/>
      <c r="E35" s="127"/>
      <c r="F35" s="127"/>
      <c r="G35" s="128" t="s">
        <v>205</v>
      </c>
      <c r="H35" s="127"/>
      <c r="I35" s="127"/>
      <c r="J35" s="127"/>
      <c r="K35" s="127"/>
      <c r="L35" s="129"/>
      <c r="N35" s="3"/>
      <c r="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N1000" s="3"/>
      <c r="O1000" s="3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" priority="1" operator="equal">
      <formula>"Physical"</formula>
    </cfRule>
  </conditionalFormatting>
  <conditionalFormatting sqref="J16:J27">
    <cfRule type="cellIs" dxfId="7" priority="2" operator="equal">
      <formula>"Psychological"</formula>
    </cfRule>
  </conditionalFormatting>
  <conditionalFormatting sqref="I16:I27">
    <cfRule type="cellIs" dxfId="8" priority="3" operator="equal">
      <formula>"Y"</formula>
    </cfRule>
  </conditionalFormatting>
  <conditionalFormatting sqref="I16:I27">
    <cfRule type="cellIs" dxfId="9" priority="4" operator="equal">
      <formula>"N"</formula>
    </cfRule>
  </conditionalFormatting>
  <dataValidations>
    <dataValidation type="list" allowBlank="1" sqref="B16:B27">
      <formula1>'Med Reference'!$D$4:$D$26</formula1>
    </dataValidation>
    <dataValidation type="list" allowBlank="1" sqref="I16:I27">
      <formula1>"Y,N"</formula1>
    </dataValidation>
    <dataValidation type="list" allowBlank="1" sqref="J16:J27">
      <formula1>"Physical,Psychological"</formula1>
    </dataValidation>
    <dataValidation type="list" allowBlank="1" sqref="C16:C27">
      <formula1>INDIRECT("MG_"&amp;SUBSTITUTE(SUBSTITUTE(SUBSTITUTE(SUBSTITUTE(LEFT($B16,IFERROR(FIND(" (",$B16)-1,LEN($B16)))," ","_"),"/","_"),".","_"),"-","_"))</formula1>
    </dataValidation>
    <dataValidation type="list" allowBlank="1" sqref="D16:D27">
      <formula1>"PO,IM,IV,SubQ,Topical,Inhaled,Sublingual,Rectal,Other"</formula1>
    </dataValidation>
    <dataValidation type="list" allowBlank="1" sqref="G16:G27">
      <formula1>"4,6,8,12,24"</formula1>
    </dataValidation>
  </dataValidations>
  <printOptions/>
  <pageMargins bottom="0.5" footer="0.0" header="0.0" left="0.5" right="0.5" top="0.6"/>
  <pageSetup orientation="landscape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 outlineLevelCol="1"/>
  <cols>
    <col customWidth="1" min="1" max="1" width="12.0"/>
    <col customWidth="1" min="2" max="2" width="6.0"/>
    <col customWidth="1" min="3" max="3" width="18.0"/>
    <col customWidth="1" min="4" max="4" width="10.0"/>
    <col customWidth="1" min="5" max="5" width="9.0"/>
    <col customWidth="1" min="6" max="6" width="8.0"/>
    <col customWidth="1" min="7" max="7" width="6.0"/>
    <col customWidth="1" min="8" max="8" width="12.0"/>
    <col customWidth="1" min="9" max="22" width="6.0"/>
    <col customWidth="1" hidden="1" min="23" max="29" width="13.0"/>
    <col customWidth="1" min="30" max="31" width="8.71"/>
    <col customWidth="1" min="32" max="32" width="20.0"/>
    <col customWidth="1" min="33" max="33" width="14.0"/>
  </cols>
  <sheetData>
    <row r="1" ht="19.5" customHeight="1">
      <c r="A1" s="4" t="s">
        <v>208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F1" s="92" t="s">
        <v>182</v>
      </c>
      <c r="AG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F2" s="95" t="s">
        <v>184</v>
      </c>
      <c r="AG2" s="96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ht="15.0" customHeight="1">
      <c r="A3" s="130" t="str">
        <f>IF('Inventory - P16'!A6="","(Enter name in Inventory - P16)",'Inventory - P16'!A6)</f>
        <v>(Add client on Client Needs Tracker, row 20)</v>
      </c>
      <c r="B3" s="131"/>
      <c r="C3" s="131"/>
      <c r="D3" s="131"/>
      <c r="E3" s="131"/>
      <c r="F3" s="132" t="str">
        <f>IF('Inventory - P16'!F6="","(Enter ID in Inventory - P16)","Member ID: "&amp;'Inventory - P16'!F6)</f>
        <v>(Enter ID in Inventory - P16)</v>
      </c>
      <c r="G3" s="131"/>
      <c r="H3" s="131"/>
      <c r="I3" s="131"/>
      <c r="J3" s="131"/>
      <c r="K3" s="131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F3" s="95" t="s">
        <v>186</v>
      </c>
      <c r="AG3" s="96" t="str">
        <f>IF('Client Needs Tracker'!S20="","","INV-"&amp;SUBSTITUTE('Client Needs Tracker'!S20," ",""))</f>
        <v>INV-F-4B</v>
      </c>
    </row>
    <row r="4" ht="15.0" customHeight="1">
      <c r="A4" s="133"/>
      <c r="F4" s="13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F4" s="3"/>
      <c r="AG4" s="3"/>
    </row>
    <row r="5" ht="15.75" customHeight="1">
      <c r="A5" s="134" t="str">
        <f>"LOC: "&amp;IF('Inventory - P16'!F8="","-",'Inventory - P16'!F8)</f>
        <v>LOC: -</v>
      </c>
      <c r="C5" s="3"/>
      <c r="D5" s="134" t="str">
        <f>"Case Manager: "&amp;IF('Inventory - P16'!A10="","-",'Inventory - P16'!A10)</f>
        <v>Case Manager: -</v>
      </c>
      <c r="F5" s="3"/>
      <c r="G5" s="134" t="str">
        <f>"Doctor: "&amp;IF('Inventory - P16'!F10="","-",'Inventory - P16'!F10)</f>
        <v>Doctor: -</v>
      </c>
      <c r="I5" s="3"/>
      <c r="J5" s="134" t="str">
        <f>"Pharmacy: "&amp;IF('Inventory - P16'!A12="","-",'Inventory - P16'!A12)</f>
        <v>Pharmacy: -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F5" s="3"/>
      <c r="AG5" s="3"/>
    </row>
    <row r="6" ht="15.0" customHeight="1">
      <c r="A6" s="135" t="s">
        <v>209</v>
      </c>
      <c r="B6" s="3"/>
      <c r="C6" s="3"/>
      <c r="D6" s="3"/>
      <c r="E6" s="136" t="str">
        <f>IF('Inventory - P16'!A14="","",'Inventory - P16'!A14)</f>
        <v/>
      </c>
      <c r="F6" s="10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F6" s="3"/>
      <c r="AG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F7" s="3"/>
      <c r="AG7" s="3"/>
    </row>
    <row r="8" ht="19.5" customHeight="1">
      <c r="A8" s="137" t="s">
        <v>210</v>
      </c>
      <c r="B8" s="137" t="s">
        <v>189</v>
      </c>
      <c r="C8" s="137" t="s">
        <v>190</v>
      </c>
      <c r="D8" s="137" t="s">
        <v>200</v>
      </c>
      <c r="E8" s="137" t="s">
        <v>192</v>
      </c>
      <c r="F8" s="137" t="s">
        <v>193</v>
      </c>
      <c r="G8" s="137" t="s">
        <v>197</v>
      </c>
      <c r="H8" s="137" t="s">
        <v>198</v>
      </c>
      <c r="I8" s="138" t="str">
        <f>IF('Inventory - P16'!A14="","",'Inventory - P16'!A14+0)</f>
        <v/>
      </c>
      <c r="J8" s="139"/>
      <c r="K8" s="138" t="str">
        <f>IF('Inventory - P16'!A14="","",'Inventory - P16'!A14+1)</f>
        <v/>
      </c>
      <c r="L8" s="139"/>
      <c r="M8" s="138" t="str">
        <f>IF('Inventory - P16'!A14="","",'Inventory - P16'!A14+2)</f>
        <v/>
      </c>
      <c r="N8" s="139"/>
      <c r="O8" s="138" t="str">
        <f>IF('Inventory - P16'!A14="","",'Inventory - P16'!A14+3)</f>
        <v/>
      </c>
      <c r="P8" s="139"/>
      <c r="Q8" s="138" t="str">
        <f>IF('Inventory - P16'!A14="","",'Inventory - P16'!A14+4)</f>
        <v/>
      </c>
      <c r="R8" s="139"/>
      <c r="S8" s="138" t="str">
        <f>IF('Inventory - P16'!A14="","",'Inventory - P16'!A14+5)</f>
        <v/>
      </c>
      <c r="T8" s="139"/>
      <c r="U8" s="138" t="str">
        <f>IF('Inventory - P16'!A14="","",'Inventory - P16'!A14+6)</f>
        <v/>
      </c>
      <c r="V8" s="139"/>
      <c r="W8" s="3"/>
      <c r="X8" s="3"/>
      <c r="Y8" s="3"/>
      <c r="Z8" s="3"/>
      <c r="AA8" s="3"/>
      <c r="AB8" s="3"/>
      <c r="AC8" s="3"/>
      <c r="AF8" s="3"/>
      <c r="AG8" s="3"/>
    </row>
    <row r="9" ht="13.5" customHeight="1">
      <c r="A9" s="140"/>
      <c r="B9" s="140"/>
      <c r="C9" s="140"/>
      <c r="D9" s="140"/>
      <c r="E9" s="140"/>
      <c r="F9" s="140"/>
      <c r="G9" s="140"/>
      <c r="H9" s="140"/>
      <c r="I9" s="141" t="s">
        <v>211</v>
      </c>
      <c r="J9" s="141" t="s">
        <v>212</v>
      </c>
      <c r="K9" s="141" t="s">
        <v>211</v>
      </c>
      <c r="L9" s="141" t="s">
        <v>212</v>
      </c>
      <c r="M9" s="141" t="s">
        <v>211</v>
      </c>
      <c r="N9" s="141" t="s">
        <v>212</v>
      </c>
      <c r="O9" s="141" t="s">
        <v>211</v>
      </c>
      <c r="P9" s="141" t="s">
        <v>212</v>
      </c>
      <c r="Q9" s="141" t="s">
        <v>211</v>
      </c>
      <c r="R9" s="141" t="s">
        <v>212</v>
      </c>
      <c r="S9" s="141" t="s">
        <v>211</v>
      </c>
      <c r="T9" s="141" t="s">
        <v>212</v>
      </c>
      <c r="U9" s="141" t="s">
        <v>211</v>
      </c>
      <c r="V9" s="141" t="s">
        <v>212</v>
      </c>
      <c r="W9" s="3"/>
      <c r="X9" s="3"/>
      <c r="Y9" s="3"/>
      <c r="Z9" s="3"/>
      <c r="AA9" s="3"/>
      <c r="AB9" s="3"/>
      <c r="AC9" s="3"/>
      <c r="AF9" s="3"/>
      <c r="AG9" s="3"/>
    </row>
    <row r="10" ht="15.75" customHeight="1">
      <c r="A10" s="142" t="s">
        <v>213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4"/>
      <c r="W10" s="3"/>
      <c r="X10" s="3"/>
      <c r="Y10" s="3"/>
      <c r="Z10" s="3"/>
      <c r="AA10" s="3"/>
      <c r="AB10" s="3"/>
      <c r="AC10" s="3"/>
      <c r="AF10" s="3"/>
      <c r="AG10" s="3"/>
    </row>
    <row r="11" ht="15.0" customHeight="1">
      <c r="A11" s="19" t="str">
        <f t="shared" ref="A11:A22" si="1">IF(W11&lt;9,TEXT(W11,"h:mm AM/PM"),"")</f>
        <v/>
      </c>
      <c r="B11" s="19" t="str">
        <f t="shared" ref="B11:B22" si="2">IF(X11="","",(INT((X11-1)/4)+1))</f>
        <v/>
      </c>
      <c r="C11" s="46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19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19" t="str">
        <f t="array" ref="E11">IF(X11="","",INDEX('Inventory - P16'!$D$16:$D$27,(INT((X11-1)/4)+1)))</f>
        <v/>
      </c>
      <c r="F11" s="19" t="str">
        <f t="array" ref="F11">IF(X11="","",INDEX('Inventory - P16'!$E$16:$E$27,(INT((X11-1)/4)+1)))</f>
        <v/>
      </c>
      <c r="G11" s="19" t="str">
        <f t="array" ref="G11">IF(X11="","",INDEX('Inventory - P16'!$I$16:$I$27,(INT((X11-1)/4)+1)))</f>
        <v/>
      </c>
      <c r="H11" s="19" t="str">
        <f t="array" ref="H11">IF(X11="","",INDEX('Inventory - P16'!$J$16:$J$27,(INT((X11-1)/4)+1)))</f>
        <v/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3">
        <f>SMALL($Z$67:$Z$114,1)</f>
        <v>9</v>
      </c>
      <c r="X11" s="3" t="str">
        <f t="shared" ref="X11:X22" si="3">IF(W11&lt;9,MATCH(W11,$Z$67:$Z$114,0),"")</f>
        <v/>
      </c>
      <c r="Y11" s="3"/>
      <c r="Z11" s="3"/>
      <c r="AA11" s="3"/>
      <c r="AB11" s="3"/>
      <c r="AC11" s="3"/>
      <c r="AF11" s="3"/>
      <c r="AG11" s="3"/>
    </row>
    <row r="12" ht="15.0" customHeight="1">
      <c r="A12" s="19" t="str">
        <f t="shared" si="1"/>
        <v/>
      </c>
      <c r="B12" s="19" t="str">
        <f t="shared" si="2"/>
        <v/>
      </c>
      <c r="C12" s="46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19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19" t="str">
        <f t="array" ref="E12">IF(X12="","",INDEX('Inventory - P16'!$D$16:$D$27,(INT((X12-1)/4)+1)))</f>
        <v/>
      </c>
      <c r="F12" s="19" t="str">
        <f t="array" ref="F12">IF(X12="","",INDEX('Inventory - P16'!$E$16:$E$27,(INT((X12-1)/4)+1)))</f>
        <v/>
      </c>
      <c r="G12" s="19" t="str">
        <f t="array" ref="G12">IF(X12="","",INDEX('Inventory - P16'!$I$16:$I$27,(INT((X12-1)/4)+1)))</f>
        <v/>
      </c>
      <c r="H12" s="19" t="str">
        <f t="array" ref="H12">IF(X12="","",INDEX('Inventory - P16'!$J$16:$J$27,(INT((X12-1)/4)+1)))</f>
        <v/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3">
        <f>SMALL($Z$67:$Z$114,2)</f>
        <v>9</v>
      </c>
      <c r="X12" s="3" t="str">
        <f t="shared" si="3"/>
        <v/>
      </c>
      <c r="Y12" s="3"/>
      <c r="Z12" s="3"/>
      <c r="AA12" s="3"/>
      <c r="AB12" s="3"/>
      <c r="AC12" s="3"/>
      <c r="AF12" s="3"/>
      <c r="AG12" s="3"/>
    </row>
    <row r="13" ht="15.0" customHeight="1">
      <c r="A13" s="19" t="str">
        <f t="shared" si="1"/>
        <v/>
      </c>
      <c r="B13" s="19" t="str">
        <f t="shared" si="2"/>
        <v/>
      </c>
      <c r="C13" s="46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19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19" t="str">
        <f t="array" ref="E13">IF(X13="","",INDEX('Inventory - P16'!$D$16:$D$27,(INT((X13-1)/4)+1)))</f>
        <v/>
      </c>
      <c r="F13" s="19" t="str">
        <f t="array" ref="F13">IF(X13="","",INDEX('Inventory - P16'!$E$16:$E$27,(INT((X13-1)/4)+1)))</f>
        <v/>
      </c>
      <c r="G13" s="19" t="str">
        <f t="array" ref="G13">IF(X13="","",INDEX('Inventory - P16'!$I$16:$I$27,(INT((X13-1)/4)+1)))</f>
        <v/>
      </c>
      <c r="H13" s="19" t="str">
        <f t="array" ref="H13">IF(X13="","",INDEX('Inventory - P16'!$J$16:$J$27,(INT((X13-1)/4)+1)))</f>
        <v/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3">
        <f>SMALL($Z$67:$Z$114,3)</f>
        <v>9</v>
      </c>
      <c r="X13" s="3" t="str">
        <f t="shared" si="3"/>
        <v/>
      </c>
      <c r="Y13" s="3"/>
      <c r="Z13" s="3"/>
      <c r="AA13" s="3"/>
      <c r="AB13" s="3"/>
      <c r="AC13" s="3"/>
      <c r="AF13" s="3"/>
      <c r="AG13" s="3"/>
    </row>
    <row r="14" ht="15.0" customHeight="1">
      <c r="A14" s="19" t="str">
        <f t="shared" si="1"/>
        <v/>
      </c>
      <c r="B14" s="19" t="str">
        <f t="shared" si="2"/>
        <v/>
      </c>
      <c r="C14" s="46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19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19" t="str">
        <f t="array" ref="E14">IF(X14="","",INDEX('Inventory - P16'!$D$16:$D$27,(INT((X14-1)/4)+1)))</f>
        <v/>
      </c>
      <c r="F14" s="19" t="str">
        <f t="array" ref="F14">IF(X14="","",INDEX('Inventory - P16'!$E$16:$E$27,(INT((X14-1)/4)+1)))</f>
        <v/>
      </c>
      <c r="G14" s="19" t="str">
        <f t="array" ref="G14">IF(X14="","",INDEX('Inventory - P16'!$I$16:$I$27,(INT((X14-1)/4)+1)))</f>
        <v/>
      </c>
      <c r="H14" s="19" t="str">
        <f t="array" ref="H14">IF(X14="","",INDEX('Inventory - P16'!$J$16:$J$27,(INT((X14-1)/4)+1)))</f>
        <v/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3">
        <f>SMALL($Z$67:$Z$114,4)</f>
        <v>9</v>
      </c>
      <c r="X14" s="3" t="str">
        <f t="shared" si="3"/>
        <v/>
      </c>
      <c r="Y14" s="3"/>
      <c r="Z14" s="3"/>
      <c r="AA14" s="3"/>
      <c r="AB14" s="3"/>
      <c r="AC14" s="3"/>
      <c r="AF14" s="3"/>
      <c r="AG14" s="3"/>
    </row>
    <row r="15" ht="15.0" customHeight="1">
      <c r="A15" s="19" t="str">
        <f t="shared" si="1"/>
        <v/>
      </c>
      <c r="B15" s="19" t="str">
        <f t="shared" si="2"/>
        <v/>
      </c>
      <c r="C15" s="46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19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19" t="str">
        <f t="array" ref="E15">IF(X15="","",INDEX('Inventory - P16'!$D$16:$D$27,(INT((X15-1)/4)+1)))</f>
        <v/>
      </c>
      <c r="F15" s="19" t="str">
        <f t="array" ref="F15">IF(X15="","",INDEX('Inventory - P16'!$E$16:$E$27,(INT((X15-1)/4)+1)))</f>
        <v/>
      </c>
      <c r="G15" s="19" t="str">
        <f t="array" ref="G15">IF(X15="","",INDEX('Inventory - P16'!$I$16:$I$27,(INT((X15-1)/4)+1)))</f>
        <v/>
      </c>
      <c r="H15" s="19" t="str">
        <f t="array" ref="H15">IF(X15="","",INDEX('Inventory - P16'!$J$16:$J$27,(INT((X15-1)/4)+1)))</f>
        <v/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">
        <f>SMALL($Z$67:$Z$114,5)</f>
        <v>9</v>
      </c>
      <c r="X15" s="3" t="str">
        <f t="shared" si="3"/>
        <v/>
      </c>
      <c r="Y15" s="3"/>
      <c r="Z15" s="3"/>
      <c r="AA15" s="3"/>
      <c r="AB15" s="3"/>
      <c r="AC15" s="3"/>
      <c r="AF15" s="3"/>
      <c r="AG15" s="3"/>
    </row>
    <row r="16" ht="15.0" customHeight="1">
      <c r="A16" s="19" t="str">
        <f t="shared" si="1"/>
        <v/>
      </c>
      <c r="B16" s="19" t="str">
        <f t="shared" si="2"/>
        <v/>
      </c>
      <c r="C16" s="46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19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19" t="str">
        <f t="array" ref="E16">IF(X16="","",INDEX('Inventory - P16'!$D$16:$D$27,(INT((X16-1)/4)+1)))</f>
        <v/>
      </c>
      <c r="F16" s="19" t="str">
        <f t="array" ref="F16">IF(X16="","",INDEX('Inventory - P16'!$E$16:$E$27,(INT((X16-1)/4)+1)))</f>
        <v/>
      </c>
      <c r="G16" s="19" t="str">
        <f t="array" ref="G16">IF(X16="","",INDEX('Inventory - P16'!$I$16:$I$27,(INT((X16-1)/4)+1)))</f>
        <v/>
      </c>
      <c r="H16" s="19" t="str">
        <f t="array" ref="H16">IF(X16="","",INDEX('Inventory - P16'!$J$16:$J$27,(INT((X16-1)/4)+1)))</f>
        <v/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3">
        <f>SMALL($Z$67:$Z$114,6)</f>
        <v>9</v>
      </c>
      <c r="X16" s="3" t="str">
        <f t="shared" si="3"/>
        <v/>
      </c>
      <c r="Y16" s="3"/>
      <c r="Z16" s="3"/>
      <c r="AA16" s="3"/>
      <c r="AB16" s="3"/>
      <c r="AC16" s="3"/>
      <c r="AF16" s="3"/>
      <c r="AG16" s="3"/>
    </row>
    <row r="17" ht="15.0" customHeight="1">
      <c r="A17" s="19" t="str">
        <f t="shared" si="1"/>
        <v/>
      </c>
      <c r="B17" s="19" t="str">
        <f t="shared" si="2"/>
        <v/>
      </c>
      <c r="C17" s="46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19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19" t="str">
        <f t="array" ref="E17">IF(X17="","",INDEX('Inventory - P16'!$D$16:$D$27,(INT((X17-1)/4)+1)))</f>
        <v/>
      </c>
      <c r="F17" s="19" t="str">
        <f t="array" ref="F17">IF(X17="","",INDEX('Inventory - P16'!$E$16:$E$27,(INT((X17-1)/4)+1)))</f>
        <v/>
      </c>
      <c r="G17" s="19" t="str">
        <f t="array" ref="G17">IF(X17="","",INDEX('Inventory - P16'!$I$16:$I$27,(INT((X17-1)/4)+1)))</f>
        <v/>
      </c>
      <c r="H17" s="19" t="str">
        <f t="array" ref="H17">IF(X17="","",INDEX('Inventory - P16'!$J$16:$J$27,(INT((X17-1)/4)+1)))</f>
        <v/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3">
        <f>SMALL($Z$67:$Z$114,7)</f>
        <v>9</v>
      </c>
      <c r="X17" s="3" t="str">
        <f t="shared" si="3"/>
        <v/>
      </c>
      <c r="Y17" s="3"/>
      <c r="Z17" s="3"/>
      <c r="AA17" s="3"/>
      <c r="AB17" s="3"/>
      <c r="AC17" s="3"/>
      <c r="AF17" s="3"/>
      <c r="AG17" s="3"/>
    </row>
    <row r="18" ht="15.0" customHeight="1">
      <c r="A18" s="19" t="str">
        <f t="shared" si="1"/>
        <v/>
      </c>
      <c r="B18" s="19" t="str">
        <f t="shared" si="2"/>
        <v/>
      </c>
      <c r="C18" s="46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19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19" t="str">
        <f t="array" ref="E18">IF(X18="","",INDEX('Inventory - P16'!$D$16:$D$27,(INT((X18-1)/4)+1)))</f>
        <v/>
      </c>
      <c r="F18" s="19" t="str">
        <f t="array" ref="F18">IF(X18="","",INDEX('Inventory - P16'!$E$16:$E$27,(INT((X18-1)/4)+1)))</f>
        <v/>
      </c>
      <c r="G18" s="19" t="str">
        <f t="array" ref="G18">IF(X18="","",INDEX('Inventory - P16'!$I$16:$I$27,(INT((X18-1)/4)+1)))</f>
        <v/>
      </c>
      <c r="H18" s="19" t="str">
        <f t="array" ref="H18">IF(X18="","",INDEX('Inventory - P16'!$J$16:$J$27,(INT((X18-1)/4)+1)))</f>
        <v/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3">
        <f>SMALL($Z$67:$Z$114,8)</f>
        <v>9</v>
      </c>
      <c r="X18" s="3" t="str">
        <f t="shared" si="3"/>
        <v/>
      </c>
      <c r="Y18" s="3"/>
      <c r="Z18" s="3"/>
      <c r="AA18" s="3"/>
      <c r="AB18" s="3"/>
      <c r="AC18" s="3"/>
      <c r="AF18" s="3"/>
      <c r="AG18" s="3"/>
    </row>
    <row r="19" ht="15.0" customHeight="1">
      <c r="A19" s="19" t="str">
        <f t="shared" si="1"/>
        <v/>
      </c>
      <c r="B19" s="19" t="str">
        <f t="shared" si="2"/>
        <v/>
      </c>
      <c r="C19" s="46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19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19" t="str">
        <f t="array" ref="E19">IF(X19="","",INDEX('Inventory - P16'!$D$16:$D$27,(INT((X19-1)/4)+1)))</f>
        <v/>
      </c>
      <c r="F19" s="19" t="str">
        <f t="array" ref="F19">IF(X19="","",INDEX('Inventory - P16'!$E$16:$E$27,(INT((X19-1)/4)+1)))</f>
        <v/>
      </c>
      <c r="G19" s="19" t="str">
        <f t="array" ref="G19">IF(X19="","",INDEX('Inventory - P16'!$I$16:$I$27,(INT((X19-1)/4)+1)))</f>
        <v/>
      </c>
      <c r="H19" s="19" t="str">
        <f t="array" ref="H19">IF(X19="","",INDEX('Inventory - P16'!$J$16:$J$27,(INT((X19-1)/4)+1)))</f>
        <v/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">
        <f>SMALL($Z$67:$Z$114,9)</f>
        <v>9</v>
      </c>
      <c r="X19" s="3" t="str">
        <f t="shared" si="3"/>
        <v/>
      </c>
      <c r="Y19" s="3"/>
      <c r="Z19" s="3"/>
      <c r="AA19" s="3"/>
      <c r="AB19" s="3"/>
      <c r="AC19" s="3"/>
      <c r="AF19" s="3"/>
      <c r="AG19" s="3"/>
    </row>
    <row r="20" ht="15.0" customHeight="1">
      <c r="A20" s="19" t="str">
        <f t="shared" si="1"/>
        <v/>
      </c>
      <c r="B20" s="19" t="str">
        <f t="shared" si="2"/>
        <v/>
      </c>
      <c r="C20" s="46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19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19" t="str">
        <f t="array" ref="E20">IF(X20="","",INDEX('Inventory - P16'!$D$16:$D$27,(INT((X20-1)/4)+1)))</f>
        <v/>
      </c>
      <c r="F20" s="19" t="str">
        <f t="array" ref="F20">IF(X20="","",INDEX('Inventory - P16'!$E$16:$E$27,(INT((X20-1)/4)+1)))</f>
        <v/>
      </c>
      <c r="G20" s="19" t="str">
        <f t="array" ref="G20">IF(X20="","",INDEX('Inventory - P16'!$I$16:$I$27,(INT((X20-1)/4)+1)))</f>
        <v/>
      </c>
      <c r="H20" s="19" t="str">
        <f t="array" ref="H20">IF(X20="","",INDEX('Inventory - P16'!$J$16:$J$27,(INT((X20-1)/4)+1)))</f>
        <v/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">
        <f>SMALL($Z$67:$Z$114,10)</f>
        <v>9</v>
      </c>
      <c r="X20" s="3" t="str">
        <f t="shared" si="3"/>
        <v/>
      </c>
      <c r="Y20" s="3"/>
      <c r="Z20" s="3"/>
      <c r="AA20" s="3"/>
      <c r="AB20" s="3"/>
      <c r="AC20" s="3"/>
      <c r="AF20" s="3"/>
      <c r="AG20" s="3"/>
    </row>
    <row r="21" ht="15.0" customHeight="1">
      <c r="A21" s="19" t="str">
        <f t="shared" si="1"/>
        <v/>
      </c>
      <c r="B21" s="19" t="str">
        <f t="shared" si="2"/>
        <v/>
      </c>
      <c r="C21" s="46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19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19" t="str">
        <f t="array" ref="E21">IF(X21="","",INDEX('Inventory - P16'!$D$16:$D$27,(INT((X21-1)/4)+1)))</f>
        <v/>
      </c>
      <c r="F21" s="19" t="str">
        <f t="array" ref="F21">IF(X21="","",INDEX('Inventory - P16'!$E$16:$E$27,(INT((X21-1)/4)+1)))</f>
        <v/>
      </c>
      <c r="G21" s="19" t="str">
        <f t="array" ref="G21">IF(X21="","",INDEX('Inventory - P16'!$I$16:$I$27,(INT((X21-1)/4)+1)))</f>
        <v/>
      </c>
      <c r="H21" s="19" t="str">
        <f t="array" ref="H21">IF(X21="","",INDEX('Inventory - P16'!$J$16:$J$27,(INT((X21-1)/4)+1)))</f>
        <v/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3">
        <f>SMALL($Z$67:$Z$114,11)</f>
        <v>9</v>
      </c>
      <c r="X21" s="3" t="str">
        <f t="shared" si="3"/>
        <v/>
      </c>
      <c r="Y21" s="3"/>
      <c r="Z21" s="3"/>
      <c r="AA21" s="3"/>
      <c r="AB21" s="3"/>
      <c r="AC21" s="3"/>
      <c r="AF21" s="3"/>
      <c r="AG21" s="3"/>
    </row>
    <row r="22" ht="15.0" customHeight="1">
      <c r="A22" s="19" t="str">
        <f t="shared" si="1"/>
        <v/>
      </c>
      <c r="B22" s="19" t="str">
        <f t="shared" si="2"/>
        <v/>
      </c>
      <c r="C22" s="46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19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19" t="str">
        <f t="array" ref="E22">IF(X22="","",INDEX('Inventory - P16'!$D$16:$D$27,(INT((X22-1)/4)+1)))</f>
        <v/>
      </c>
      <c r="F22" s="19" t="str">
        <f t="array" ref="F22">IF(X22="","",INDEX('Inventory - P16'!$E$16:$E$27,(INT((X22-1)/4)+1)))</f>
        <v/>
      </c>
      <c r="G22" s="19" t="str">
        <f t="array" ref="G22">IF(X22="","",INDEX('Inventory - P16'!$I$16:$I$27,(INT((X22-1)/4)+1)))</f>
        <v/>
      </c>
      <c r="H22" s="19" t="str">
        <f t="array" ref="H22">IF(X22="","",INDEX('Inventory - P16'!$J$16:$J$27,(INT((X22-1)/4)+1)))</f>
        <v/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3">
        <f>SMALL($Z$67:$Z$114,12)</f>
        <v>9</v>
      </c>
      <c r="X22" s="3" t="str">
        <f t="shared" si="3"/>
        <v/>
      </c>
      <c r="Y22" s="3"/>
      <c r="Z22" s="3"/>
      <c r="AA22" s="3"/>
      <c r="AB22" s="3"/>
      <c r="AC22" s="3"/>
      <c r="AF22" s="3"/>
      <c r="AG22" s="3"/>
    </row>
    <row r="23" ht="15.75" customHeight="1">
      <c r="A23" s="142" t="s">
        <v>214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  <c r="W23" s="3"/>
      <c r="X23" s="3"/>
      <c r="Y23" s="3"/>
      <c r="Z23" s="3"/>
      <c r="AA23" s="3"/>
      <c r="AB23" s="3"/>
      <c r="AC23" s="3"/>
      <c r="AF23" s="3"/>
      <c r="AG23" s="3"/>
    </row>
    <row r="24" ht="15.0" customHeight="1">
      <c r="A24" s="19" t="str">
        <f t="shared" ref="A24:A35" si="4">IF(W24&lt;9,TEXT(W24,"h:mm AM/PM"),"")</f>
        <v/>
      </c>
      <c r="B24" s="19" t="str">
        <f t="shared" ref="B24:B35" si="5">IF(X24="","",(INT((X24-1)/4)+1))</f>
        <v/>
      </c>
      <c r="C24" s="46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19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19" t="str">
        <f t="array" ref="E24">IF(X24="","",INDEX('Inventory - P16'!$D$16:$D$27,(INT((X24-1)/4)+1)))</f>
        <v/>
      </c>
      <c r="F24" s="19" t="str">
        <f t="array" ref="F24">IF(X24="","",INDEX('Inventory - P16'!$E$16:$E$27,(INT((X24-1)/4)+1)))</f>
        <v/>
      </c>
      <c r="G24" s="19" t="str">
        <f t="array" ref="G24">IF(X24="","",INDEX('Inventory - P16'!$I$16:$I$27,(INT((X24-1)/4)+1)))</f>
        <v/>
      </c>
      <c r="H24" s="19" t="str">
        <f t="array" ref="H24">IF(X24="","",INDEX('Inventory - P16'!$J$16:$J$27,(INT((X24-1)/4)+1)))</f>
        <v/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">
        <f>SMALL($AA$67:$AA$114,1)</f>
        <v>9</v>
      </c>
      <c r="X24" s="3" t="str">
        <f t="shared" ref="X24:X35" si="6">IF(W24&lt;9,MATCH(W24,$AA$67:$AA$114,0),"")</f>
        <v/>
      </c>
      <c r="Y24" s="3"/>
      <c r="Z24" s="3"/>
      <c r="AA24" s="3"/>
      <c r="AB24" s="3"/>
      <c r="AC24" s="3"/>
      <c r="AF24" s="3"/>
      <c r="AG24" s="3"/>
    </row>
    <row r="25" ht="15.0" customHeight="1">
      <c r="A25" s="19" t="str">
        <f t="shared" si="4"/>
        <v/>
      </c>
      <c r="B25" s="19" t="str">
        <f t="shared" si="5"/>
        <v/>
      </c>
      <c r="C25" s="46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19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19" t="str">
        <f t="array" ref="E25">IF(X25="","",INDEX('Inventory - P16'!$D$16:$D$27,(INT((X25-1)/4)+1)))</f>
        <v/>
      </c>
      <c r="F25" s="19" t="str">
        <f t="array" ref="F25">IF(X25="","",INDEX('Inventory - P16'!$E$16:$E$27,(INT((X25-1)/4)+1)))</f>
        <v/>
      </c>
      <c r="G25" s="19" t="str">
        <f t="array" ref="G25">IF(X25="","",INDEX('Inventory - P16'!$I$16:$I$27,(INT((X25-1)/4)+1)))</f>
        <v/>
      </c>
      <c r="H25" s="19" t="str">
        <f t="array" ref="H25">IF(X25="","",INDEX('Inventory - P16'!$J$16:$J$27,(INT((X25-1)/4)+1)))</f>
        <v/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">
        <f>SMALL($AA$67:$AA$114,2)</f>
        <v>9</v>
      </c>
      <c r="X25" s="3" t="str">
        <f t="shared" si="6"/>
        <v/>
      </c>
      <c r="Y25" s="3"/>
      <c r="Z25" s="3"/>
      <c r="AA25" s="3"/>
      <c r="AB25" s="3"/>
      <c r="AC25" s="3"/>
      <c r="AF25" s="3"/>
      <c r="AG25" s="3"/>
    </row>
    <row r="26" ht="15.0" customHeight="1">
      <c r="A26" s="19" t="str">
        <f t="shared" si="4"/>
        <v/>
      </c>
      <c r="B26" s="19" t="str">
        <f t="shared" si="5"/>
        <v/>
      </c>
      <c r="C26" s="46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19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19" t="str">
        <f t="array" ref="E26">IF(X26="","",INDEX('Inventory - P16'!$D$16:$D$27,(INT((X26-1)/4)+1)))</f>
        <v/>
      </c>
      <c r="F26" s="19" t="str">
        <f t="array" ref="F26">IF(X26="","",INDEX('Inventory - P16'!$E$16:$E$27,(INT((X26-1)/4)+1)))</f>
        <v/>
      </c>
      <c r="G26" s="19" t="str">
        <f t="array" ref="G26">IF(X26="","",INDEX('Inventory - P16'!$I$16:$I$27,(INT((X26-1)/4)+1)))</f>
        <v/>
      </c>
      <c r="H26" s="19" t="str">
        <f t="array" ref="H26">IF(X26="","",INDEX('Inventory - P16'!$J$16:$J$27,(INT((X26-1)/4)+1)))</f>
        <v/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">
        <f>SMALL($AA$67:$AA$114,3)</f>
        <v>9</v>
      </c>
      <c r="X26" s="3" t="str">
        <f t="shared" si="6"/>
        <v/>
      </c>
      <c r="Y26" s="3"/>
      <c r="Z26" s="3"/>
      <c r="AA26" s="3"/>
      <c r="AB26" s="3"/>
      <c r="AC26" s="3"/>
      <c r="AF26" s="3"/>
      <c r="AG26" s="3"/>
    </row>
    <row r="27" ht="15.0" customHeight="1">
      <c r="A27" s="19" t="str">
        <f t="shared" si="4"/>
        <v/>
      </c>
      <c r="B27" s="19" t="str">
        <f t="shared" si="5"/>
        <v/>
      </c>
      <c r="C27" s="46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19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19" t="str">
        <f t="array" ref="E27">IF(X27="","",INDEX('Inventory - P16'!$D$16:$D$27,(INT((X27-1)/4)+1)))</f>
        <v/>
      </c>
      <c r="F27" s="19" t="str">
        <f t="array" ref="F27">IF(X27="","",INDEX('Inventory - P16'!$E$16:$E$27,(INT((X27-1)/4)+1)))</f>
        <v/>
      </c>
      <c r="G27" s="19" t="str">
        <f t="array" ref="G27">IF(X27="","",INDEX('Inventory - P16'!$I$16:$I$27,(INT((X27-1)/4)+1)))</f>
        <v/>
      </c>
      <c r="H27" s="19" t="str">
        <f t="array" ref="H27">IF(X27="","",INDEX('Inventory - P16'!$J$16:$J$27,(INT((X27-1)/4)+1)))</f>
        <v/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3">
        <f>SMALL($AA$67:$AA$114,4)</f>
        <v>9</v>
      </c>
      <c r="X27" s="3" t="str">
        <f t="shared" si="6"/>
        <v/>
      </c>
      <c r="Y27" s="3"/>
      <c r="Z27" s="3"/>
      <c r="AA27" s="3"/>
      <c r="AB27" s="3"/>
      <c r="AC27" s="3"/>
      <c r="AF27" s="3"/>
      <c r="AG27" s="3"/>
    </row>
    <row r="28" ht="15.0" customHeight="1">
      <c r="A28" s="19" t="str">
        <f t="shared" si="4"/>
        <v/>
      </c>
      <c r="B28" s="19" t="str">
        <f t="shared" si="5"/>
        <v/>
      </c>
      <c r="C28" s="46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19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19" t="str">
        <f t="array" ref="E28">IF(X28="","",INDEX('Inventory - P16'!$D$16:$D$27,(INT((X28-1)/4)+1)))</f>
        <v/>
      </c>
      <c r="F28" s="19" t="str">
        <f t="array" ref="F28">IF(X28="","",INDEX('Inventory - P16'!$E$16:$E$27,(INT((X28-1)/4)+1)))</f>
        <v/>
      </c>
      <c r="G28" s="19" t="str">
        <f t="array" ref="G28">IF(X28="","",INDEX('Inventory - P16'!$I$16:$I$27,(INT((X28-1)/4)+1)))</f>
        <v/>
      </c>
      <c r="H28" s="19" t="str">
        <f t="array" ref="H28">IF(X28="","",INDEX('Inventory - P16'!$J$16:$J$27,(INT((X28-1)/4)+1)))</f>
        <v/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3">
        <f>SMALL($AA$67:$AA$114,5)</f>
        <v>9</v>
      </c>
      <c r="X28" s="3" t="str">
        <f t="shared" si="6"/>
        <v/>
      </c>
      <c r="Y28" s="3"/>
      <c r="Z28" s="3"/>
      <c r="AA28" s="3"/>
      <c r="AB28" s="3"/>
      <c r="AC28" s="3"/>
      <c r="AF28" s="3"/>
      <c r="AG28" s="3"/>
    </row>
    <row r="29" ht="15.0" customHeight="1">
      <c r="A29" s="19" t="str">
        <f t="shared" si="4"/>
        <v/>
      </c>
      <c r="B29" s="19" t="str">
        <f t="shared" si="5"/>
        <v/>
      </c>
      <c r="C29" s="46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19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19" t="str">
        <f t="array" ref="E29">IF(X29="","",INDEX('Inventory - P16'!$D$16:$D$27,(INT((X29-1)/4)+1)))</f>
        <v/>
      </c>
      <c r="F29" s="19" t="str">
        <f t="array" ref="F29">IF(X29="","",INDEX('Inventory - P16'!$E$16:$E$27,(INT((X29-1)/4)+1)))</f>
        <v/>
      </c>
      <c r="G29" s="19" t="str">
        <f t="array" ref="G29">IF(X29="","",INDEX('Inventory - P16'!$I$16:$I$27,(INT((X29-1)/4)+1)))</f>
        <v/>
      </c>
      <c r="H29" s="19" t="str">
        <f t="array" ref="H29">IF(X29="","",INDEX('Inventory - P16'!$J$16:$J$27,(INT((X29-1)/4)+1)))</f>
        <v/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3">
        <f>SMALL($AA$67:$AA$114,6)</f>
        <v>9</v>
      </c>
      <c r="X29" s="3" t="str">
        <f t="shared" si="6"/>
        <v/>
      </c>
      <c r="Y29" s="3"/>
      <c r="Z29" s="3"/>
      <c r="AA29" s="3"/>
      <c r="AB29" s="3"/>
      <c r="AC29" s="3"/>
      <c r="AF29" s="3"/>
      <c r="AG29" s="3"/>
    </row>
    <row r="30" ht="15.0" customHeight="1">
      <c r="A30" s="19" t="str">
        <f t="shared" si="4"/>
        <v/>
      </c>
      <c r="B30" s="19" t="str">
        <f t="shared" si="5"/>
        <v/>
      </c>
      <c r="C30" s="46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19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19" t="str">
        <f t="array" ref="E30">IF(X30="","",INDEX('Inventory - P16'!$D$16:$D$27,(INT((X30-1)/4)+1)))</f>
        <v/>
      </c>
      <c r="F30" s="19" t="str">
        <f t="array" ref="F30">IF(X30="","",INDEX('Inventory - P16'!$E$16:$E$27,(INT((X30-1)/4)+1)))</f>
        <v/>
      </c>
      <c r="G30" s="19" t="str">
        <f t="array" ref="G30">IF(X30="","",INDEX('Inventory - P16'!$I$16:$I$27,(INT((X30-1)/4)+1)))</f>
        <v/>
      </c>
      <c r="H30" s="19" t="str">
        <f t="array" ref="H30">IF(X30="","",INDEX('Inventory - P16'!$J$16:$J$27,(INT((X30-1)/4)+1)))</f>
        <v/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3">
        <f>SMALL($AA$67:$AA$114,7)</f>
        <v>9</v>
      </c>
      <c r="X30" s="3" t="str">
        <f t="shared" si="6"/>
        <v/>
      </c>
      <c r="Y30" s="3"/>
      <c r="Z30" s="3"/>
      <c r="AA30" s="3"/>
      <c r="AB30" s="3"/>
      <c r="AC30" s="3"/>
      <c r="AF30" s="3"/>
      <c r="AG30" s="3"/>
    </row>
    <row r="31" ht="15.0" customHeight="1">
      <c r="A31" s="19" t="str">
        <f t="shared" si="4"/>
        <v/>
      </c>
      <c r="B31" s="19" t="str">
        <f t="shared" si="5"/>
        <v/>
      </c>
      <c r="C31" s="46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19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19" t="str">
        <f t="array" ref="E31">IF(X31="","",INDEX('Inventory - P16'!$D$16:$D$27,(INT((X31-1)/4)+1)))</f>
        <v/>
      </c>
      <c r="F31" s="19" t="str">
        <f t="array" ref="F31">IF(X31="","",INDEX('Inventory - P16'!$E$16:$E$27,(INT((X31-1)/4)+1)))</f>
        <v/>
      </c>
      <c r="G31" s="19" t="str">
        <f t="array" ref="G31">IF(X31="","",INDEX('Inventory - P16'!$I$16:$I$27,(INT((X31-1)/4)+1)))</f>
        <v/>
      </c>
      <c r="H31" s="19" t="str">
        <f t="array" ref="H31">IF(X31="","",INDEX('Inventory - P16'!$J$16:$J$27,(INT((X31-1)/4)+1)))</f>
        <v/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3">
        <f>SMALL($AA$67:$AA$114,8)</f>
        <v>9</v>
      </c>
      <c r="X31" s="3" t="str">
        <f t="shared" si="6"/>
        <v/>
      </c>
      <c r="Y31" s="3"/>
      <c r="Z31" s="3"/>
      <c r="AA31" s="3"/>
      <c r="AB31" s="3"/>
      <c r="AC31" s="3"/>
      <c r="AF31" s="3"/>
      <c r="AG31" s="3"/>
    </row>
    <row r="32" ht="15.0" customHeight="1">
      <c r="A32" s="19" t="str">
        <f t="shared" si="4"/>
        <v/>
      </c>
      <c r="B32" s="19" t="str">
        <f t="shared" si="5"/>
        <v/>
      </c>
      <c r="C32" s="46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19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19" t="str">
        <f t="array" ref="E32">IF(X32="","",INDEX('Inventory - P16'!$D$16:$D$27,(INT((X32-1)/4)+1)))</f>
        <v/>
      </c>
      <c r="F32" s="19" t="str">
        <f t="array" ref="F32">IF(X32="","",INDEX('Inventory - P16'!$E$16:$E$27,(INT((X32-1)/4)+1)))</f>
        <v/>
      </c>
      <c r="G32" s="19" t="str">
        <f t="array" ref="G32">IF(X32="","",INDEX('Inventory - P16'!$I$16:$I$27,(INT((X32-1)/4)+1)))</f>
        <v/>
      </c>
      <c r="H32" s="19" t="str">
        <f t="array" ref="H32">IF(X32="","",INDEX('Inventory - P16'!$J$16:$J$27,(INT((X32-1)/4)+1)))</f>
        <v/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3">
        <f>SMALL($AA$67:$AA$114,9)</f>
        <v>9</v>
      </c>
      <c r="X32" s="3" t="str">
        <f t="shared" si="6"/>
        <v/>
      </c>
      <c r="Y32" s="3"/>
      <c r="Z32" s="3"/>
      <c r="AA32" s="3"/>
      <c r="AB32" s="3"/>
      <c r="AC32" s="3"/>
      <c r="AF32" s="3"/>
      <c r="AG32" s="3"/>
    </row>
    <row r="33" ht="15.0" customHeight="1">
      <c r="A33" s="19" t="str">
        <f t="shared" si="4"/>
        <v/>
      </c>
      <c r="B33" s="19" t="str">
        <f t="shared" si="5"/>
        <v/>
      </c>
      <c r="C33" s="46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19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19" t="str">
        <f t="array" ref="E33">IF(X33="","",INDEX('Inventory - P16'!$D$16:$D$27,(INT((X33-1)/4)+1)))</f>
        <v/>
      </c>
      <c r="F33" s="19" t="str">
        <f t="array" ref="F33">IF(X33="","",INDEX('Inventory - P16'!$E$16:$E$27,(INT((X33-1)/4)+1)))</f>
        <v/>
      </c>
      <c r="G33" s="19" t="str">
        <f t="array" ref="G33">IF(X33="","",INDEX('Inventory - P16'!$I$16:$I$27,(INT((X33-1)/4)+1)))</f>
        <v/>
      </c>
      <c r="H33" s="19" t="str">
        <f t="array" ref="H33">IF(X33="","",INDEX('Inventory - P16'!$J$16:$J$27,(INT((X33-1)/4)+1)))</f>
        <v/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3">
        <f>SMALL($AA$67:$AA$114,10)</f>
        <v>9</v>
      </c>
      <c r="X33" s="3" t="str">
        <f t="shared" si="6"/>
        <v/>
      </c>
      <c r="Y33" s="3"/>
      <c r="Z33" s="3"/>
      <c r="AA33" s="3"/>
      <c r="AB33" s="3"/>
      <c r="AC33" s="3"/>
      <c r="AF33" s="3"/>
      <c r="AG33" s="3"/>
    </row>
    <row r="34" ht="15.0" customHeight="1">
      <c r="A34" s="19" t="str">
        <f t="shared" si="4"/>
        <v/>
      </c>
      <c r="B34" s="19" t="str">
        <f t="shared" si="5"/>
        <v/>
      </c>
      <c r="C34" s="46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19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19" t="str">
        <f t="array" ref="E34">IF(X34="","",INDEX('Inventory - P16'!$D$16:$D$27,(INT((X34-1)/4)+1)))</f>
        <v/>
      </c>
      <c r="F34" s="19" t="str">
        <f t="array" ref="F34">IF(X34="","",INDEX('Inventory - P16'!$E$16:$E$27,(INT((X34-1)/4)+1)))</f>
        <v/>
      </c>
      <c r="G34" s="19" t="str">
        <f t="array" ref="G34">IF(X34="","",INDEX('Inventory - P16'!$I$16:$I$27,(INT((X34-1)/4)+1)))</f>
        <v/>
      </c>
      <c r="H34" s="19" t="str">
        <f t="array" ref="H34">IF(X34="","",INDEX('Inventory - P16'!$J$16:$J$27,(INT((X34-1)/4)+1)))</f>
        <v/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3">
        <f>SMALL($AA$67:$AA$114,11)</f>
        <v>9</v>
      </c>
      <c r="X34" s="3" t="str">
        <f t="shared" si="6"/>
        <v/>
      </c>
      <c r="Y34" s="3"/>
      <c r="Z34" s="3"/>
      <c r="AA34" s="3"/>
      <c r="AB34" s="3"/>
      <c r="AC34" s="3"/>
      <c r="AF34" s="3"/>
      <c r="AG34" s="3"/>
    </row>
    <row r="35" ht="15.0" customHeight="1">
      <c r="A35" s="19" t="str">
        <f t="shared" si="4"/>
        <v/>
      </c>
      <c r="B35" s="19" t="str">
        <f t="shared" si="5"/>
        <v/>
      </c>
      <c r="C35" s="46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19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19" t="str">
        <f t="array" ref="E35">IF(X35="","",INDEX('Inventory - P16'!$D$16:$D$27,(INT((X35-1)/4)+1)))</f>
        <v/>
      </c>
      <c r="F35" s="19" t="str">
        <f t="array" ref="F35">IF(X35="","",INDEX('Inventory - P16'!$E$16:$E$27,(INT((X35-1)/4)+1)))</f>
        <v/>
      </c>
      <c r="G35" s="19" t="str">
        <f t="array" ref="G35">IF(X35="","",INDEX('Inventory - P16'!$I$16:$I$27,(INT((X35-1)/4)+1)))</f>
        <v/>
      </c>
      <c r="H35" s="19" t="str">
        <f t="array" ref="H35">IF(X35="","",INDEX('Inventory - P16'!$J$16:$J$27,(INT((X35-1)/4)+1)))</f>
        <v/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3">
        <f>SMALL($AA$67:$AA$114,12)</f>
        <v>9</v>
      </c>
      <c r="X35" s="3" t="str">
        <f t="shared" si="6"/>
        <v/>
      </c>
      <c r="Y35" s="3"/>
      <c r="Z35" s="3"/>
      <c r="AA35" s="3"/>
      <c r="AB35" s="3"/>
      <c r="AC35" s="3"/>
      <c r="AF35" s="3"/>
      <c r="AG35" s="3"/>
    </row>
    <row r="36" ht="15.75" customHeight="1">
      <c r="A36" s="142" t="s">
        <v>215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4"/>
      <c r="W36" s="3"/>
      <c r="X36" s="3"/>
      <c r="Y36" s="3"/>
      <c r="Z36" s="3"/>
      <c r="AA36" s="3"/>
      <c r="AB36" s="3"/>
      <c r="AC36" s="3"/>
      <c r="AF36" s="3"/>
      <c r="AG36" s="3"/>
    </row>
    <row r="37" ht="15.0" customHeight="1">
      <c r="A37" s="19" t="str">
        <f t="shared" ref="A37:A48" si="7">IF(W37&lt;9,TEXT(W37,"h:mm AM/PM"),"")</f>
        <v/>
      </c>
      <c r="B37" s="19" t="str">
        <f t="shared" ref="B37:B48" si="8">IF(X37="","",(INT((X37-1)/4)+1))</f>
        <v/>
      </c>
      <c r="C37" s="46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19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19" t="str">
        <f t="array" ref="E37">IF(X37="","",INDEX('Inventory - P16'!$D$16:$D$27,(INT((X37-1)/4)+1)))</f>
        <v/>
      </c>
      <c r="F37" s="19" t="str">
        <f t="array" ref="F37">IF(X37="","",INDEX('Inventory - P16'!$E$16:$E$27,(INT((X37-1)/4)+1)))</f>
        <v/>
      </c>
      <c r="G37" s="19" t="str">
        <f t="array" ref="G37">IF(X37="","",INDEX('Inventory - P16'!$I$16:$I$27,(INT((X37-1)/4)+1)))</f>
        <v/>
      </c>
      <c r="H37" s="19" t="str">
        <f t="array" ref="H37">IF(X37="","",INDEX('Inventory - P16'!$J$16:$J$27,(INT((X37-1)/4)+1)))</f>
        <v/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3">
        <f>SMALL($AB$67:$AB$114,1)</f>
        <v>9</v>
      </c>
      <c r="X37" s="3" t="str">
        <f t="shared" ref="X37:X48" si="9">IF(W37&lt;9,MATCH(W37,$AB$67:$AB$114,0),"")</f>
        <v/>
      </c>
      <c r="Y37" s="3"/>
      <c r="Z37" s="3"/>
      <c r="AA37" s="3"/>
      <c r="AB37" s="3"/>
      <c r="AC37" s="3"/>
      <c r="AF37" s="3"/>
      <c r="AG37" s="3"/>
    </row>
    <row r="38" ht="15.0" customHeight="1">
      <c r="A38" s="19" t="str">
        <f t="shared" si="7"/>
        <v/>
      </c>
      <c r="B38" s="19" t="str">
        <f t="shared" si="8"/>
        <v/>
      </c>
      <c r="C38" s="46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19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19" t="str">
        <f t="array" ref="E38">IF(X38="","",INDEX('Inventory - P16'!$D$16:$D$27,(INT((X38-1)/4)+1)))</f>
        <v/>
      </c>
      <c r="F38" s="19" t="str">
        <f t="array" ref="F38">IF(X38="","",INDEX('Inventory - P16'!$E$16:$E$27,(INT((X38-1)/4)+1)))</f>
        <v/>
      </c>
      <c r="G38" s="19" t="str">
        <f t="array" ref="G38">IF(X38="","",INDEX('Inventory - P16'!$I$16:$I$27,(INT((X38-1)/4)+1)))</f>
        <v/>
      </c>
      <c r="H38" s="19" t="str">
        <f t="array" ref="H38">IF(X38="","",INDEX('Inventory - P16'!$J$16:$J$27,(INT((X38-1)/4)+1)))</f>
        <v/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3">
        <f>SMALL($AB$67:$AB$114,2)</f>
        <v>9</v>
      </c>
      <c r="X38" s="3" t="str">
        <f t="shared" si="9"/>
        <v/>
      </c>
      <c r="Y38" s="3"/>
      <c r="Z38" s="3"/>
      <c r="AA38" s="3"/>
      <c r="AB38" s="3"/>
      <c r="AC38" s="3"/>
      <c r="AF38" s="3"/>
      <c r="AG38" s="3"/>
    </row>
    <row r="39" ht="15.0" customHeight="1">
      <c r="A39" s="19" t="str">
        <f t="shared" si="7"/>
        <v/>
      </c>
      <c r="B39" s="19" t="str">
        <f t="shared" si="8"/>
        <v/>
      </c>
      <c r="C39" s="46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19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19" t="str">
        <f t="array" ref="E39">IF(X39="","",INDEX('Inventory - P16'!$D$16:$D$27,(INT((X39-1)/4)+1)))</f>
        <v/>
      </c>
      <c r="F39" s="19" t="str">
        <f t="array" ref="F39">IF(X39="","",INDEX('Inventory - P16'!$E$16:$E$27,(INT((X39-1)/4)+1)))</f>
        <v/>
      </c>
      <c r="G39" s="19" t="str">
        <f t="array" ref="G39">IF(X39="","",INDEX('Inventory - P16'!$I$16:$I$27,(INT((X39-1)/4)+1)))</f>
        <v/>
      </c>
      <c r="H39" s="19" t="str">
        <f t="array" ref="H39">IF(X39="","",INDEX('Inventory - P16'!$J$16:$J$27,(INT((X39-1)/4)+1)))</f>
        <v/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3">
        <f>SMALL($AB$67:$AB$114,3)</f>
        <v>9</v>
      </c>
      <c r="X39" s="3" t="str">
        <f t="shared" si="9"/>
        <v/>
      </c>
      <c r="Y39" s="3"/>
      <c r="Z39" s="3"/>
      <c r="AA39" s="3"/>
      <c r="AB39" s="3"/>
      <c r="AC39" s="3"/>
      <c r="AF39" s="3"/>
      <c r="AG39" s="3"/>
    </row>
    <row r="40" ht="15.0" customHeight="1">
      <c r="A40" s="19" t="str">
        <f t="shared" si="7"/>
        <v/>
      </c>
      <c r="B40" s="19" t="str">
        <f t="shared" si="8"/>
        <v/>
      </c>
      <c r="C40" s="46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19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19" t="str">
        <f t="array" ref="E40">IF(X40="","",INDEX('Inventory - P16'!$D$16:$D$27,(INT((X40-1)/4)+1)))</f>
        <v/>
      </c>
      <c r="F40" s="19" t="str">
        <f t="array" ref="F40">IF(X40="","",INDEX('Inventory - P16'!$E$16:$E$27,(INT((X40-1)/4)+1)))</f>
        <v/>
      </c>
      <c r="G40" s="19" t="str">
        <f t="array" ref="G40">IF(X40="","",INDEX('Inventory - P16'!$I$16:$I$27,(INT((X40-1)/4)+1)))</f>
        <v/>
      </c>
      <c r="H40" s="19" t="str">
        <f t="array" ref="H40">IF(X40="","",INDEX('Inventory - P16'!$J$16:$J$27,(INT((X40-1)/4)+1)))</f>
        <v/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3">
        <f>SMALL($AB$67:$AB$114,4)</f>
        <v>9</v>
      </c>
      <c r="X40" s="3" t="str">
        <f t="shared" si="9"/>
        <v/>
      </c>
      <c r="Y40" s="3"/>
      <c r="Z40" s="3"/>
      <c r="AA40" s="3"/>
      <c r="AB40" s="3"/>
      <c r="AC40" s="3"/>
      <c r="AF40" s="3"/>
      <c r="AG40" s="3"/>
    </row>
    <row r="41" ht="15.0" customHeight="1">
      <c r="A41" s="19" t="str">
        <f t="shared" si="7"/>
        <v/>
      </c>
      <c r="B41" s="19" t="str">
        <f t="shared" si="8"/>
        <v/>
      </c>
      <c r="C41" s="46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19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19" t="str">
        <f t="array" ref="E41">IF(X41="","",INDEX('Inventory - P16'!$D$16:$D$27,(INT((X41-1)/4)+1)))</f>
        <v/>
      </c>
      <c r="F41" s="19" t="str">
        <f t="array" ref="F41">IF(X41="","",INDEX('Inventory - P16'!$E$16:$E$27,(INT((X41-1)/4)+1)))</f>
        <v/>
      </c>
      <c r="G41" s="19" t="str">
        <f t="array" ref="G41">IF(X41="","",INDEX('Inventory - P16'!$I$16:$I$27,(INT((X41-1)/4)+1)))</f>
        <v/>
      </c>
      <c r="H41" s="19" t="str">
        <f t="array" ref="H41">IF(X41="","",INDEX('Inventory - P16'!$J$16:$J$27,(INT((X41-1)/4)+1)))</f>
        <v/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3">
        <f>SMALL($AB$67:$AB$114,5)</f>
        <v>9</v>
      </c>
      <c r="X41" s="3" t="str">
        <f t="shared" si="9"/>
        <v/>
      </c>
      <c r="Y41" s="3"/>
      <c r="Z41" s="3"/>
      <c r="AA41" s="3"/>
      <c r="AB41" s="3"/>
      <c r="AC41" s="3"/>
      <c r="AF41" s="3"/>
      <c r="AG41" s="3"/>
    </row>
    <row r="42" ht="15.0" customHeight="1">
      <c r="A42" s="19" t="str">
        <f t="shared" si="7"/>
        <v/>
      </c>
      <c r="B42" s="19" t="str">
        <f t="shared" si="8"/>
        <v/>
      </c>
      <c r="C42" s="46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19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19" t="str">
        <f t="array" ref="E42">IF(X42="","",INDEX('Inventory - P16'!$D$16:$D$27,(INT((X42-1)/4)+1)))</f>
        <v/>
      </c>
      <c r="F42" s="19" t="str">
        <f t="array" ref="F42">IF(X42="","",INDEX('Inventory - P16'!$E$16:$E$27,(INT((X42-1)/4)+1)))</f>
        <v/>
      </c>
      <c r="G42" s="19" t="str">
        <f t="array" ref="G42">IF(X42="","",INDEX('Inventory - P16'!$I$16:$I$27,(INT((X42-1)/4)+1)))</f>
        <v/>
      </c>
      <c r="H42" s="19" t="str">
        <f t="array" ref="H42">IF(X42="","",INDEX('Inventory - P16'!$J$16:$J$27,(INT((X42-1)/4)+1)))</f>
        <v/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3">
        <f>SMALL($AB$67:$AB$114,6)</f>
        <v>9</v>
      </c>
      <c r="X42" s="3" t="str">
        <f t="shared" si="9"/>
        <v/>
      </c>
      <c r="Y42" s="3"/>
      <c r="Z42" s="3"/>
      <c r="AA42" s="3"/>
      <c r="AB42" s="3"/>
      <c r="AC42" s="3"/>
      <c r="AF42" s="3"/>
      <c r="AG42" s="3"/>
    </row>
    <row r="43" ht="15.0" customHeight="1">
      <c r="A43" s="19" t="str">
        <f t="shared" si="7"/>
        <v/>
      </c>
      <c r="B43" s="19" t="str">
        <f t="shared" si="8"/>
        <v/>
      </c>
      <c r="C43" s="46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19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19" t="str">
        <f t="array" ref="E43">IF(X43="","",INDEX('Inventory - P16'!$D$16:$D$27,(INT((X43-1)/4)+1)))</f>
        <v/>
      </c>
      <c r="F43" s="19" t="str">
        <f t="array" ref="F43">IF(X43="","",INDEX('Inventory - P16'!$E$16:$E$27,(INT((X43-1)/4)+1)))</f>
        <v/>
      </c>
      <c r="G43" s="19" t="str">
        <f t="array" ref="G43">IF(X43="","",INDEX('Inventory - P16'!$I$16:$I$27,(INT((X43-1)/4)+1)))</f>
        <v/>
      </c>
      <c r="H43" s="19" t="str">
        <f t="array" ref="H43">IF(X43="","",INDEX('Inventory - P16'!$J$16:$J$27,(INT((X43-1)/4)+1)))</f>
        <v/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3">
        <f>SMALL($AB$67:$AB$114,7)</f>
        <v>9</v>
      </c>
      <c r="X43" s="3" t="str">
        <f t="shared" si="9"/>
        <v/>
      </c>
      <c r="Y43" s="3"/>
      <c r="Z43" s="3"/>
      <c r="AA43" s="3"/>
      <c r="AB43" s="3"/>
      <c r="AC43" s="3"/>
      <c r="AF43" s="3"/>
      <c r="AG43" s="3"/>
    </row>
    <row r="44" ht="15.0" customHeight="1">
      <c r="A44" s="19" t="str">
        <f t="shared" si="7"/>
        <v/>
      </c>
      <c r="B44" s="19" t="str">
        <f t="shared" si="8"/>
        <v/>
      </c>
      <c r="C44" s="46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19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19" t="str">
        <f t="array" ref="E44">IF(X44="","",INDEX('Inventory - P16'!$D$16:$D$27,(INT((X44-1)/4)+1)))</f>
        <v/>
      </c>
      <c r="F44" s="19" t="str">
        <f t="array" ref="F44">IF(X44="","",INDEX('Inventory - P16'!$E$16:$E$27,(INT((X44-1)/4)+1)))</f>
        <v/>
      </c>
      <c r="G44" s="19" t="str">
        <f t="array" ref="G44">IF(X44="","",INDEX('Inventory - P16'!$I$16:$I$27,(INT((X44-1)/4)+1)))</f>
        <v/>
      </c>
      <c r="H44" s="19" t="str">
        <f t="array" ref="H44">IF(X44="","",INDEX('Inventory - P16'!$J$16:$J$27,(INT((X44-1)/4)+1)))</f>
        <v/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3">
        <f>SMALL($AB$67:$AB$114,8)</f>
        <v>9</v>
      </c>
      <c r="X44" s="3" t="str">
        <f t="shared" si="9"/>
        <v/>
      </c>
      <c r="Y44" s="3"/>
      <c r="Z44" s="3"/>
      <c r="AA44" s="3"/>
      <c r="AB44" s="3"/>
      <c r="AC44" s="3"/>
      <c r="AF44" s="3"/>
      <c r="AG44" s="3"/>
    </row>
    <row r="45" ht="15.0" customHeight="1">
      <c r="A45" s="19" t="str">
        <f t="shared" si="7"/>
        <v/>
      </c>
      <c r="B45" s="19" t="str">
        <f t="shared" si="8"/>
        <v/>
      </c>
      <c r="C45" s="46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19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19" t="str">
        <f t="array" ref="E45">IF(X45="","",INDEX('Inventory - P16'!$D$16:$D$27,(INT((X45-1)/4)+1)))</f>
        <v/>
      </c>
      <c r="F45" s="19" t="str">
        <f t="array" ref="F45">IF(X45="","",INDEX('Inventory - P16'!$E$16:$E$27,(INT((X45-1)/4)+1)))</f>
        <v/>
      </c>
      <c r="G45" s="19" t="str">
        <f t="array" ref="G45">IF(X45="","",INDEX('Inventory - P16'!$I$16:$I$27,(INT((X45-1)/4)+1)))</f>
        <v/>
      </c>
      <c r="H45" s="19" t="str">
        <f t="array" ref="H45">IF(X45="","",INDEX('Inventory - P16'!$J$16:$J$27,(INT((X45-1)/4)+1)))</f>
        <v/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3">
        <f>SMALL($AB$67:$AB$114,9)</f>
        <v>9</v>
      </c>
      <c r="X45" s="3" t="str">
        <f t="shared" si="9"/>
        <v/>
      </c>
      <c r="Y45" s="3"/>
      <c r="Z45" s="3"/>
      <c r="AA45" s="3"/>
      <c r="AB45" s="3"/>
      <c r="AC45" s="3"/>
      <c r="AF45" s="3"/>
      <c r="AG45" s="3"/>
    </row>
    <row r="46" ht="15.0" customHeight="1">
      <c r="A46" s="19" t="str">
        <f t="shared" si="7"/>
        <v/>
      </c>
      <c r="B46" s="19" t="str">
        <f t="shared" si="8"/>
        <v/>
      </c>
      <c r="C46" s="46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19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19" t="str">
        <f t="array" ref="E46">IF(X46="","",INDEX('Inventory - P16'!$D$16:$D$27,(INT((X46-1)/4)+1)))</f>
        <v/>
      </c>
      <c r="F46" s="19" t="str">
        <f t="array" ref="F46">IF(X46="","",INDEX('Inventory - P16'!$E$16:$E$27,(INT((X46-1)/4)+1)))</f>
        <v/>
      </c>
      <c r="G46" s="19" t="str">
        <f t="array" ref="G46">IF(X46="","",INDEX('Inventory - P16'!$I$16:$I$27,(INT((X46-1)/4)+1)))</f>
        <v/>
      </c>
      <c r="H46" s="19" t="str">
        <f t="array" ref="H46">IF(X46="","",INDEX('Inventory - P16'!$J$16:$J$27,(INT((X46-1)/4)+1)))</f>
        <v/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3">
        <f>SMALL($AB$67:$AB$114,10)</f>
        <v>9</v>
      </c>
      <c r="X46" s="3" t="str">
        <f t="shared" si="9"/>
        <v/>
      </c>
      <c r="Y46" s="3"/>
      <c r="Z46" s="3"/>
      <c r="AA46" s="3"/>
      <c r="AB46" s="3"/>
      <c r="AC46" s="3"/>
      <c r="AF46" s="3"/>
      <c r="AG46" s="3"/>
    </row>
    <row r="47" ht="15.0" customHeight="1">
      <c r="A47" s="19" t="str">
        <f t="shared" si="7"/>
        <v/>
      </c>
      <c r="B47" s="19" t="str">
        <f t="shared" si="8"/>
        <v/>
      </c>
      <c r="C47" s="46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19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19" t="str">
        <f t="array" ref="E47">IF(X47="","",INDEX('Inventory - P16'!$D$16:$D$27,(INT((X47-1)/4)+1)))</f>
        <v/>
      </c>
      <c r="F47" s="19" t="str">
        <f t="array" ref="F47">IF(X47="","",INDEX('Inventory - P16'!$E$16:$E$27,(INT((X47-1)/4)+1)))</f>
        <v/>
      </c>
      <c r="G47" s="19" t="str">
        <f t="array" ref="G47">IF(X47="","",INDEX('Inventory - P16'!$I$16:$I$27,(INT((X47-1)/4)+1)))</f>
        <v/>
      </c>
      <c r="H47" s="19" t="str">
        <f t="array" ref="H47">IF(X47="","",INDEX('Inventory - P16'!$J$16:$J$27,(INT((X47-1)/4)+1)))</f>
        <v/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3">
        <f>SMALL($AB$67:$AB$114,11)</f>
        <v>9</v>
      </c>
      <c r="X47" s="3" t="str">
        <f t="shared" si="9"/>
        <v/>
      </c>
      <c r="Y47" s="3"/>
      <c r="Z47" s="3"/>
      <c r="AA47" s="3"/>
      <c r="AB47" s="3"/>
      <c r="AC47" s="3"/>
      <c r="AF47" s="3"/>
      <c r="AG47" s="3"/>
    </row>
    <row r="48" ht="15.0" customHeight="1">
      <c r="A48" s="19" t="str">
        <f t="shared" si="7"/>
        <v/>
      </c>
      <c r="B48" s="19" t="str">
        <f t="shared" si="8"/>
        <v/>
      </c>
      <c r="C48" s="46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19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19" t="str">
        <f t="array" ref="E48">IF(X48="","",INDEX('Inventory - P16'!$D$16:$D$27,(INT((X48-1)/4)+1)))</f>
        <v/>
      </c>
      <c r="F48" s="19" t="str">
        <f t="array" ref="F48">IF(X48="","",INDEX('Inventory - P16'!$E$16:$E$27,(INT((X48-1)/4)+1)))</f>
        <v/>
      </c>
      <c r="G48" s="19" t="str">
        <f t="array" ref="G48">IF(X48="","",INDEX('Inventory - P16'!$I$16:$I$27,(INT((X48-1)/4)+1)))</f>
        <v/>
      </c>
      <c r="H48" s="19" t="str">
        <f t="array" ref="H48">IF(X48="","",INDEX('Inventory - P16'!$J$16:$J$27,(INT((X48-1)/4)+1)))</f>
        <v/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3">
        <f>SMALL($AB$67:$AB$114,12)</f>
        <v>9</v>
      </c>
      <c r="X48" s="3" t="str">
        <f t="shared" si="9"/>
        <v/>
      </c>
      <c r="Y48" s="3"/>
      <c r="Z48" s="3"/>
      <c r="AA48" s="3"/>
      <c r="AB48" s="3"/>
      <c r="AC48" s="3"/>
      <c r="AF48" s="3"/>
      <c r="AG48" s="3"/>
    </row>
    <row r="49" ht="15.75" customHeight="1">
      <c r="A49" s="142" t="s">
        <v>218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4"/>
      <c r="W49" s="3"/>
      <c r="X49" s="3"/>
      <c r="Y49" s="3"/>
      <c r="Z49" s="3"/>
      <c r="AA49" s="3"/>
      <c r="AB49" s="3"/>
      <c r="AC49" s="3"/>
      <c r="AF49" s="3"/>
      <c r="AG49" s="3"/>
    </row>
    <row r="50" ht="15.0" customHeight="1">
      <c r="A50" s="19" t="str">
        <f t="shared" ref="A50:A61" si="10">IF(W50&lt;9,TEXT(W50,"h:mm AM/PM"),"")</f>
        <v/>
      </c>
      <c r="B50" s="19" t="str">
        <f t="shared" ref="B50:B61" si="11">IF(X50="","",(INT((X50-1)/4)+1))</f>
        <v/>
      </c>
      <c r="C50" s="46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19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19" t="str">
        <f t="array" ref="E50">IF(X50="","",INDEX('Inventory - P16'!$D$16:$D$27,(INT((X50-1)/4)+1)))</f>
        <v/>
      </c>
      <c r="F50" s="19" t="str">
        <f t="array" ref="F50">IF(X50="","",INDEX('Inventory - P16'!$E$16:$E$27,(INT((X50-1)/4)+1)))</f>
        <v/>
      </c>
      <c r="G50" s="19" t="str">
        <f t="array" ref="G50">IF(X50="","",INDEX('Inventory - P16'!$I$16:$I$27,(INT((X50-1)/4)+1)))</f>
        <v/>
      </c>
      <c r="H50" s="19" t="str">
        <f t="array" ref="H50">IF(X50="","",INDEX('Inventory - P16'!$J$16:$J$27,(INT((X50-1)/4)+1)))</f>
        <v/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3">
        <f>SMALL($AC$67:$AC$114,1)</f>
        <v>9</v>
      </c>
      <c r="X50" s="3" t="str">
        <f t="shared" ref="X50:X61" si="12">IF(W50&lt;9,MATCH(W50,$AC$67:$AC$114,0),"")</f>
        <v/>
      </c>
      <c r="Y50" s="3"/>
      <c r="Z50" s="3"/>
      <c r="AA50" s="3"/>
      <c r="AB50" s="3"/>
      <c r="AC50" s="3"/>
      <c r="AF50" s="3"/>
      <c r="AG50" s="3"/>
    </row>
    <row r="51" ht="15.0" customHeight="1">
      <c r="A51" s="19" t="str">
        <f t="shared" si="10"/>
        <v/>
      </c>
      <c r="B51" s="19" t="str">
        <f t="shared" si="11"/>
        <v/>
      </c>
      <c r="C51" s="46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19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19" t="str">
        <f t="array" ref="E51">IF(X51="","",INDEX('Inventory - P16'!$D$16:$D$27,(INT((X51-1)/4)+1)))</f>
        <v/>
      </c>
      <c r="F51" s="19" t="str">
        <f t="array" ref="F51">IF(X51="","",INDEX('Inventory - P16'!$E$16:$E$27,(INT((X51-1)/4)+1)))</f>
        <v/>
      </c>
      <c r="G51" s="19" t="str">
        <f t="array" ref="G51">IF(X51="","",INDEX('Inventory - P16'!$I$16:$I$27,(INT((X51-1)/4)+1)))</f>
        <v/>
      </c>
      <c r="H51" s="19" t="str">
        <f t="array" ref="H51">IF(X51="","",INDEX('Inventory - P16'!$J$16:$J$27,(INT((X51-1)/4)+1)))</f>
        <v/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3">
        <f>SMALL($AC$67:$AC$114,2)</f>
        <v>9</v>
      </c>
      <c r="X51" s="3" t="str">
        <f t="shared" si="12"/>
        <v/>
      </c>
      <c r="Y51" s="3"/>
      <c r="Z51" s="3"/>
      <c r="AA51" s="3"/>
      <c r="AB51" s="3"/>
      <c r="AC51" s="3"/>
      <c r="AF51" s="3"/>
      <c r="AG51" s="3"/>
    </row>
    <row r="52" ht="15.0" customHeight="1">
      <c r="A52" s="19" t="str">
        <f t="shared" si="10"/>
        <v/>
      </c>
      <c r="B52" s="19" t="str">
        <f t="shared" si="11"/>
        <v/>
      </c>
      <c r="C52" s="46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19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19" t="str">
        <f t="array" ref="E52">IF(X52="","",INDEX('Inventory - P16'!$D$16:$D$27,(INT((X52-1)/4)+1)))</f>
        <v/>
      </c>
      <c r="F52" s="19" t="str">
        <f t="array" ref="F52">IF(X52="","",INDEX('Inventory - P16'!$E$16:$E$27,(INT((X52-1)/4)+1)))</f>
        <v/>
      </c>
      <c r="G52" s="19" t="str">
        <f t="array" ref="G52">IF(X52="","",INDEX('Inventory - P16'!$I$16:$I$27,(INT((X52-1)/4)+1)))</f>
        <v/>
      </c>
      <c r="H52" s="19" t="str">
        <f t="array" ref="H52">IF(X52="","",INDEX('Inventory - P16'!$J$16:$J$27,(INT((X52-1)/4)+1)))</f>
        <v/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3">
        <f>SMALL($AC$67:$AC$114,3)</f>
        <v>9</v>
      </c>
      <c r="X52" s="3" t="str">
        <f t="shared" si="12"/>
        <v/>
      </c>
      <c r="Y52" s="3"/>
      <c r="Z52" s="3"/>
      <c r="AA52" s="3"/>
      <c r="AB52" s="3"/>
      <c r="AC52" s="3"/>
      <c r="AF52" s="3"/>
      <c r="AG52" s="3"/>
    </row>
    <row r="53" ht="15.0" customHeight="1">
      <c r="A53" s="19" t="str">
        <f t="shared" si="10"/>
        <v/>
      </c>
      <c r="B53" s="19" t="str">
        <f t="shared" si="11"/>
        <v/>
      </c>
      <c r="C53" s="46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19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19" t="str">
        <f t="array" ref="E53">IF(X53="","",INDEX('Inventory - P16'!$D$16:$D$27,(INT((X53-1)/4)+1)))</f>
        <v/>
      </c>
      <c r="F53" s="19" t="str">
        <f t="array" ref="F53">IF(X53="","",INDEX('Inventory - P16'!$E$16:$E$27,(INT((X53-1)/4)+1)))</f>
        <v/>
      </c>
      <c r="G53" s="19" t="str">
        <f t="array" ref="G53">IF(X53="","",INDEX('Inventory - P16'!$I$16:$I$27,(INT((X53-1)/4)+1)))</f>
        <v/>
      </c>
      <c r="H53" s="19" t="str">
        <f t="array" ref="H53">IF(X53="","",INDEX('Inventory - P16'!$J$16:$J$27,(INT((X53-1)/4)+1)))</f>
        <v/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3">
        <f>SMALL($AC$67:$AC$114,4)</f>
        <v>9</v>
      </c>
      <c r="X53" s="3" t="str">
        <f t="shared" si="12"/>
        <v/>
      </c>
      <c r="Y53" s="3"/>
      <c r="Z53" s="3"/>
      <c r="AA53" s="3"/>
      <c r="AB53" s="3"/>
      <c r="AC53" s="3"/>
      <c r="AF53" s="3"/>
      <c r="AG53" s="3"/>
    </row>
    <row r="54" ht="15.0" customHeight="1">
      <c r="A54" s="19" t="str">
        <f t="shared" si="10"/>
        <v/>
      </c>
      <c r="B54" s="19" t="str">
        <f t="shared" si="11"/>
        <v/>
      </c>
      <c r="C54" s="46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19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19" t="str">
        <f t="array" ref="E54">IF(X54="","",INDEX('Inventory - P16'!$D$16:$D$27,(INT((X54-1)/4)+1)))</f>
        <v/>
      </c>
      <c r="F54" s="19" t="str">
        <f t="array" ref="F54">IF(X54="","",INDEX('Inventory - P16'!$E$16:$E$27,(INT((X54-1)/4)+1)))</f>
        <v/>
      </c>
      <c r="G54" s="19" t="str">
        <f t="array" ref="G54">IF(X54="","",INDEX('Inventory - P16'!$I$16:$I$27,(INT((X54-1)/4)+1)))</f>
        <v/>
      </c>
      <c r="H54" s="19" t="str">
        <f t="array" ref="H54">IF(X54="","",INDEX('Inventory - P16'!$J$16:$J$27,(INT((X54-1)/4)+1)))</f>
        <v/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3">
        <f>SMALL($AC$67:$AC$114,5)</f>
        <v>9</v>
      </c>
      <c r="X54" s="3" t="str">
        <f t="shared" si="12"/>
        <v/>
      </c>
      <c r="Y54" s="3"/>
      <c r="Z54" s="3"/>
      <c r="AA54" s="3"/>
      <c r="AB54" s="3"/>
      <c r="AC54" s="3"/>
      <c r="AF54" s="3"/>
      <c r="AG54" s="3"/>
    </row>
    <row r="55" ht="15.0" customHeight="1">
      <c r="A55" s="19" t="str">
        <f t="shared" si="10"/>
        <v/>
      </c>
      <c r="B55" s="19" t="str">
        <f t="shared" si="11"/>
        <v/>
      </c>
      <c r="C55" s="46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19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19" t="str">
        <f t="array" ref="E55">IF(X55="","",INDEX('Inventory - P16'!$D$16:$D$27,(INT((X55-1)/4)+1)))</f>
        <v/>
      </c>
      <c r="F55" s="19" t="str">
        <f t="array" ref="F55">IF(X55="","",INDEX('Inventory - P16'!$E$16:$E$27,(INT((X55-1)/4)+1)))</f>
        <v/>
      </c>
      <c r="G55" s="19" t="str">
        <f t="array" ref="G55">IF(X55="","",INDEX('Inventory - P16'!$I$16:$I$27,(INT((X55-1)/4)+1)))</f>
        <v/>
      </c>
      <c r="H55" s="19" t="str">
        <f t="array" ref="H55">IF(X55="","",INDEX('Inventory - P16'!$J$16:$J$27,(INT((X55-1)/4)+1)))</f>
        <v/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3">
        <f>SMALL($AC$67:$AC$114,6)</f>
        <v>9</v>
      </c>
      <c r="X55" s="3" t="str">
        <f t="shared" si="12"/>
        <v/>
      </c>
      <c r="Y55" s="3"/>
      <c r="Z55" s="3"/>
      <c r="AA55" s="3"/>
      <c r="AB55" s="3"/>
      <c r="AC55" s="3"/>
      <c r="AF55" s="3"/>
      <c r="AG55" s="3"/>
    </row>
    <row r="56" ht="15.0" customHeight="1">
      <c r="A56" s="19" t="str">
        <f t="shared" si="10"/>
        <v/>
      </c>
      <c r="B56" s="19" t="str">
        <f t="shared" si="11"/>
        <v/>
      </c>
      <c r="C56" s="46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19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19" t="str">
        <f t="array" ref="E56">IF(X56="","",INDEX('Inventory - P16'!$D$16:$D$27,(INT((X56-1)/4)+1)))</f>
        <v/>
      </c>
      <c r="F56" s="19" t="str">
        <f t="array" ref="F56">IF(X56="","",INDEX('Inventory - P16'!$E$16:$E$27,(INT((X56-1)/4)+1)))</f>
        <v/>
      </c>
      <c r="G56" s="19" t="str">
        <f t="array" ref="G56">IF(X56="","",INDEX('Inventory - P16'!$I$16:$I$27,(INT((X56-1)/4)+1)))</f>
        <v/>
      </c>
      <c r="H56" s="19" t="str">
        <f t="array" ref="H56">IF(X56="","",INDEX('Inventory - P16'!$J$16:$J$27,(INT((X56-1)/4)+1)))</f>
        <v/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3">
        <f>SMALL($AC$67:$AC$114,7)</f>
        <v>9</v>
      </c>
      <c r="X56" s="3" t="str">
        <f t="shared" si="12"/>
        <v/>
      </c>
      <c r="Y56" s="3"/>
      <c r="Z56" s="3"/>
      <c r="AA56" s="3"/>
      <c r="AB56" s="3"/>
      <c r="AC56" s="3"/>
      <c r="AF56" s="3"/>
      <c r="AG56" s="3"/>
    </row>
    <row r="57" ht="15.0" customHeight="1">
      <c r="A57" s="19" t="str">
        <f t="shared" si="10"/>
        <v/>
      </c>
      <c r="B57" s="19" t="str">
        <f t="shared" si="11"/>
        <v/>
      </c>
      <c r="C57" s="46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19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19" t="str">
        <f t="array" ref="E57">IF(X57="","",INDEX('Inventory - P16'!$D$16:$D$27,(INT((X57-1)/4)+1)))</f>
        <v/>
      </c>
      <c r="F57" s="19" t="str">
        <f t="array" ref="F57">IF(X57="","",INDEX('Inventory - P16'!$E$16:$E$27,(INT((X57-1)/4)+1)))</f>
        <v/>
      </c>
      <c r="G57" s="19" t="str">
        <f t="array" ref="G57">IF(X57="","",INDEX('Inventory - P16'!$I$16:$I$27,(INT((X57-1)/4)+1)))</f>
        <v/>
      </c>
      <c r="H57" s="19" t="str">
        <f t="array" ref="H57">IF(X57="","",INDEX('Inventory - P16'!$J$16:$J$27,(INT((X57-1)/4)+1)))</f>
        <v/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3">
        <f>SMALL($AC$67:$AC$114,8)</f>
        <v>9</v>
      </c>
      <c r="X57" s="3" t="str">
        <f t="shared" si="12"/>
        <v/>
      </c>
      <c r="Y57" s="3"/>
      <c r="Z57" s="3"/>
      <c r="AA57" s="3"/>
      <c r="AB57" s="3"/>
      <c r="AC57" s="3"/>
      <c r="AF57" s="3"/>
      <c r="AG57" s="3"/>
    </row>
    <row r="58" ht="15.0" customHeight="1">
      <c r="A58" s="19" t="str">
        <f t="shared" si="10"/>
        <v/>
      </c>
      <c r="B58" s="19" t="str">
        <f t="shared" si="11"/>
        <v/>
      </c>
      <c r="C58" s="46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19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19" t="str">
        <f t="array" ref="E58">IF(X58="","",INDEX('Inventory - P16'!$D$16:$D$27,(INT((X58-1)/4)+1)))</f>
        <v/>
      </c>
      <c r="F58" s="19" t="str">
        <f t="array" ref="F58">IF(X58="","",INDEX('Inventory - P16'!$E$16:$E$27,(INT((X58-1)/4)+1)))</f>
        <v/>
      </c>
      <c r="G58" s="19" t="str">
        <f t="array" ref="G58">IF(X58="","",INDEX('Inventory - P16'!$I$16:$I$27,(INT((X58-1)/4)+1)))</f>
        <v/>
      </c>
      <c r="H58" s="19" t="str">
        <f t="array" ref="H58">IF(X58="","",INDEX('Inventory - P16'!$J$16:$J$27,(INT((X58-1)/4)+1)))</f>
        <v/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3">
        <f>SMALL($AC$67:$AC$114,9)</f>
        <v>9</v>
      </c>
      <c r="X58" s="3" t="str">
        <f t="shared" si="12"/>
        <v/>
      </c>
      <c r="Y58" s="3"/>
      <c r="Z58" s="3"/>
      <c r="AA58" s="3"/>
      <c r="AB58" s="3"/>
      <c r="AC58" s="3"/>
      <c r="AF58" s="3"/>
      <c r="AG58" s="3"/>
    </row>
    <row r="59" ht="15.0" customHeight="1">
      <c r="A59" s="19" t="str">
        <f t="shared" si="10"/>
        <v/>
      </c>
      <c r="B59" s="19" t="str">
        <f t="shared" si="11"/>
        <v/>
      </c>
      <c r="C59" s="46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19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19" t="str">
        <f t="array" ref="E59">IF(X59="","",INDEX('Inventory - P16'!$D$16:$D$27,(INT((X59-1)/4)+1)))</f>
        <v/>
      </c>
      <c r="F59" s="19" t="str">
        <f t="array" ref="F59">IF(X59="","",INDEX('Inventory - P16'!$E$16:$E$27,(INT((X59-1)/4)+1)))</f>
        <v/>
      </c>
      <c r="G59" s="19" t="str">
        <f t="array" ref="G59">IF(X59="","",INDEX('Inventory - P16'!$I$16:$I$27,(INT((X59-1)/4)+1)))</f>
        <v/>
      </c>
      <c r="H59" s="19" t="str">
        <f t="array" ref="H59">IF(X59="","",INDEX('Inventory - P16'!$J$16:$J$27,(INT((X59-1)/4)+1)))</f>
        <v/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3">
        <f>SMALL($AC$67:$AC$114,10)</f>
        <v>9</v>
      </c>
      <c r="X59" s="3" t="str">
        <f t="shared" si="12"/>
        <v/>
      </c>
      <c r="Y59" s="3"/>
      <c r="Z59" s="3"/>
      <c r="AA59" s="3"/>
      <c r="AB59" s="3"/>
      <c r="AC59" s="3"/>
      <c r="AF59" s="3"/>
      <c r="AG59" s="3"/>
    </row>
    <row r="60" ht="15.0" customHeight="1">
      <c r="A60" s="19" t="str">
        <f t="shared" si="10"/>
        <v/>
      </c>
      <c r="B60" s="19" t="str">
        <f t="shared" si="11"/>
        <v/>
      </c>
      <c r="C60" s="46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19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19" t="str">
        <f t="array" ref="E60">IF(X60="","",INDEX('Inventory - P16'!$D$16:$D$27,(INT((X60-1)/4)+1)))</f>
        <v/>
      </c>
      <c r="F60" s="19" t="str">
        <f t="array" ref="F60">IF(X60="","",INDEX('Inventory - P16'!$E$16:$E$27,(INT((X60-1)/4)+1)))</f>
        <v/>
      </c>
      <c r="G60" s="19" t="str">
        <f t="array" ref="G60">IF(X60="","",INDEX('Inventory - P16'!$I$16:$I$27,(INT((X60-1)/4)+1)))</f>
        <v/>
      </c>
      <c r="H60" s="19" t="str">
        <f t="array" ref="H60">IF(X60="","",INDEX('Inventory - P16'!$J$16:$J$27,(INT((X60-1)/4)+1)))</f>
        <v/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3">
        <f>SMALL($AC$67:$AC$114,11)</f>
        <v>9</v>
      </c>
      <c r="X60" s="3" t="str">
        <f t="shared" si="12"/>
        <v/>
      </c>
      <c r="Y60" s="3"/>
      <c r="Z60" s="3"/>
      <c r="AA60" s="3"/>
      <c r="AB60" s="3"/>
      <c r="AC60" s="3"/>
      <c r="AF60" s="3"/>
      <c r="AG60" s="3"/>
    </row>
    <row r="61" ht="15.0" customHeight="1">
      <c r="A61" s="19" t="str">
        <f t="shared" si="10"/>
        <v/>
      </c>
      <c r="B61" s="19" t="str">
        <f t="shared" si="11"/>
        <v/>
      </c>
      <c r="C61" s="46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19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19" t="str">
        <f t="array" ref="E61">IF(X61="","",INDEX('Inventory - P16'!$D$16:$D$27,(INT((X61-1)/4)+1)))</f>
        <v/>
      </c>
      <c r="F61" s="19" t="str">
        <f t="array" ref="F61">IF(X61="","",INDEX('Inventory - P16'!$E$16:$E$27,(INT((X61-1)/4)+1)))</f>
        <v/>
      </c>
      <c r="G61" s="19" t="str">
        <f t="array" ref="G61">IF(X61="","",INDEX('Inventory - P16'!$I$16:$I$27,(INT((X61-1)/4)+1)))</f>
        <v/>
      </c>
      <c r="H61" s="19" t="str">
        <f t="array" ref="H61">IF(X61="","",INDEX('Inventory - P16'!$J$16:$J$27,(INT((X61-1)/4)+1)))</f>
        <v/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3">
        <f>SMALL($AC$67:$AC$114,12)</f>
        <v>9</v>
      </c>
      <c r="X61" s="3" t="str">
        <f t="shared" si="12"/>
        <v/>
      </c>
      <c r="Y61" s="3"/>
      <c r="Z61" s="3"/>
      <c r="AA61" s="3"/>
      <c r="AB61" s="3"/>
      <c r="AC61" s="3"/>
      <c r="AF61" s="3"/>
      <c r="AG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F62" s="3"/>
      <c r="AG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F63" s="3"/>
      <c r="AG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F64" s="3"/>
      <c r="AG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F65" s="3"/>
      <c r="AG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F66" s="3"/>
      <c r="AG66" s="3"/>
    </row>
    <row r="67" ht="15.0" hidden="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>
        <f>IF(OR('Inventory - P16'!E16&lt;1,'Inventory - P16'!F16="",'Inventory - P16'!G16=""),9,MOD('Inventory - P16'!F16+0*'Inventory - P16'!G16/24,1))</f>
        <v>9</v>
      </c>
      <c r="Z67" s="3">
        <f>IF(Y67=9,9,IF(AND(Y67&gt;=6/24,Y67&lt;12/24),Y67+0*0.000000001,9))</f>
        <v>9</v>
      </c>
      <c r="AA67" s="3">
        <f>IF(Y67=9,9,IF(AND(Y67&gt;=12/24,Y67&lt;17/24),Y67+0*0.000000001,9))</f>
        <v>9</v>
      </c>
      <c r="AB67" s="3">
        <f>IF(Y67=9,9,IF(AND(Y67&gt;=17/24,Y67&lt;20/24),Y67+0*0.000000001,9))</f>
        <v>9</v>
      </c>
      <c r="AC67" s="3">
        <f>IF(Y67=9,9,IF(OR(Y67&gt;=20/24,Y67&lt;6/24),Y67+0*0.000000001,9))</f>
        <v>9</v>
      </c>
      <c r="AF67" s="3"/>
      <c r="AG67" s="3"/>
    </row>
    <row r="68" ht="15.0" hidden="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>
        <f>IF(OR('Inventory - P16'!E16&lt;2,'Inventory - P16'!F16="",'Inventory - P16'!G16=""),9,MOD('Inventory - P16'!F16+1*'Inventory - P16'!G16/24,1))</f>
        <v>9</v>
      </c>
      <c r="Z68" s="3">
        <f>IF(Y68=9,9,IF(AND(Y68&gt;=6/24,Y68&lt;12/24),Y68+1*0.000000001,9))</f>
        <v>9</v>
      </c>
      <c r="AA68" s="3">
        <f>IF(Y68=9,9,IF(AND(Y68&gt;=12/24,Y68&lt;17/24),Y68+1*0.000000001,9))</f>
        <v>9</v>
      </c>
      <c r="AB68" s="3">
        <f>IF(Y68=9,9,IF(AND(Y68&gt;=17/24,Y68&lt;20/24),Y68+1*0.000000001,9))</f>
        <v>9</v>
      </c>
      <c r="AC68" s="3">
        <f>IF(Y68=9,9,IF(OR(Y68&gt;=20/24,Y68&lt;6/24),Y68+1*0.000000001,9))</f>
        <v>9</v>
      </c>
      <c r="AF68" s="3"/>
      <c r="AG68" s="3"/>
    </row>
    <row r="69" ht="15.0" hidden="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f>IF(OR('Inventory - P16'!E16&lt;3,'Inventory - P16'!F16="",'Inventory - P16'!G16=""),9,MOD('Inventory - P16'!F16+2*'Inventory - P16'!G16/24,1))</f>
        <v>9</v>
      </c>
      <c r="Z69" s="3">
        <f>IF(Y69=9,9,IF(AND(Y69&gt;=6/24,Y69&lt;12/24),Y69+2*0.000000001,9))</f>
        <v>9</v>
      </c>
      <c r="AA69" s="3">
        <f>IF(Y69=9,9,IF(AND(Y69&gt;=12/24,Y69&lt;17/24),Y69+2*0.000000001,9))</f>
        <v>9</v>
      </c>
      <c r="AB69" s="3">
        <f>IF(Y69=9,9,IF(AND(Y69&gt;=17/24,Y69&lt;20/24),Y69+2*0.000000001,9))</f>
        <v>9</v>
      </c>
      <c r="AC69" s="3">
        <f>IF(Y69=9,9,IF(OR(Y69&gt;=20/24,Y69&lt;6/24),Y69+2*0.000000001,9))</f>
        <v>9</v>
      </c>
      <c r="AF69" s="3"/>
      <c r="AG69" s="3"/>
    </row>
    <row r="70" ht="15.0" hidden="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>
        <f>IF(OR('Inventory - P16'!E16&lt;4,'Inventory - P16'!F16="",'Inventory - P16'!G16=""),9,MOD('Inventory - P16'!F16+3*'Inventory - P16'!G16/24,1))</f>
        <v>9</v>
      </c>
      <c r="Z70" s="3">
        <f>IF(Y70=9,9,IF(AND(Y70&gt;=6/24,Y70&lt;12/24),Y70+3*0.000000001,9))</f>
        <v>9</v>
      </c>
      <c r="AA70" s="3">
        <f>IF(Y70=9,9,IF(AND(Y70&gt;=12/24,Y70&lt;17/24),Y70+3*0.000000001,9))</f>
        <v>9</v>
      </c>
      <c r="AB70" s="3">
        <f>IF(Y70=9,9,IF(AND(Y70&gt;=17/24,Y70&lt;20/24),Y70+3*0.000000001,9))</f>
        <v>9</v>
      </c>
      <c r="AC70" s="3">
        <f>IF(Y70=9,9,IF(OR(Y70&gt;=20/24,Y70&lt;6/24),Y70+3*0.000000001,9))</f>
        <v>9</v>
      </c>
      <c r="AF70" s="3"/>
      <c r="AG70" s="3"/>
    </row>
    <row r="71" ht="15.0" hidden="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>
        <f>IF(OR('Inventory - P16'!E17&lt;1,'Inventory - P16'!F17="",'Inventory - P16'!G17=""),9,MOD('Inventory - P16'!F17+0*'Inventory - P16'!G17/24,1))</f>
        <v>9</v>
      </c>
      <c r="Z71" s="3">
        <f>IF(Y71=9,9,IF(AND(Y71&gt;=6/24,Y71&lt;12/24),Y71+4*0.000000001,9))</f>
        <v>9</v>
      </c>
      <c r="AA71" s="3">
        <f>IF(Y71=9,9,IF(AND(Y71&gt;=12/24,Y71&lt;17/24),Y71+4*0.000000001,9))</f>
        <v>9</v>
      </c>
      <c r="AB71" s="3">
        <f>IF(Y71=9,9,IF(AND(Y71&gt;=17/24,Y71&lt;20/24),Y71+4*0.000000001,9))</f>
        <v>9</v>
      </c>
      <c r="AC71" s="3">
        <f>IF(Y71=9,9,IF(OR(Y71&gt;=20/24,Y71&lt;6/24),Y71+4*0.000000001,9))</f>
        <v>9</v>
      </c>
      <c r="AF71" s="3"/>
      <c r="AG71" s="3"/>
    </row>
    <row r="72" ht="15.0" hidden="1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>
        <f>IF(OR('Inventory - P16'!E17&lt;2,'Inventory - P16'!F17="",'Inventory - P16'!G17=""),9,MOD('Inventory - P16'!F17+1*'Inventory - P16'!G17/24,1))</f>
        <v>9</v>
      </c>
      <c r="Z72" s="3">
        <f>IF(Y72=9,9,IF(AND(Y72&gt;=6/24,Y72&lt;12/24),Y72+5*0.000000001,9))</f>
        <v>9</v>
      </c>
      <c r="AA72" s="3">
        <f>IF(Y72=9,9,IF(AND(Y72&gt;=12/24,Y72&lt;17/24),Y72+5*0.000000001,9))</f>
        <v>9</v>
      </c>
      <c r="AB72" s="3">
        <f>IF(Y72=9,9,IF(AND(Y72&gt;=17/24,Y72&lt;20/24),Y72+5*0.000000001,9))</f>
        <v>9</v>
      </c>
      <c r="AC72" s="3">
        <f>IF(Y72=9,9,IF(OR(Y72&gt;=20/24,Y72&lt;6/24),Y72+5*0.000000001,9))</f>
        <v>9</v>
      </c>
      <c r="AF72" s="3"/>
      <c r="AG72" s="3"/>
    </row>
    <row r="73" ht="15.0" hidden="1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f>IF(OR('Inventory - P16'!E17&lt;3,'Inventory - P16'!F17="",'Inventory - P16'!G17=""),9,MOD('Inventory - P16'!F17+2*'Inventory - P16'!G17/24,1))</f>
        <v>9</v>
      </c>
      <c r="Z73" s="3">
        <f>IF(Y73=9,9,IF(AND(Y73&gt;=6/24,Y73&lt;12/24),Y73+6*0.000000001,9))</f>
        <v>9</v>
      </c>
      <c r="AA73" s="3">
        <f>IF(Y73=9,9,IF(AND(Y73&gt;=12/24,Y73&lt;17/24),Y73+6*0.000000001,9))</f>
        <v>9</v>
      </c>
      <c r="AB73" s="3">
        <f>IF(Y73=9,9,IF(AND(Y73&gt;=17/24,Y73&lt;20/24),Y73+6*0.000000001,9))</f>
        <v>9</v>
      </c>
      <c r="AC73" s="3">
        <f>IF(Y73=9,9,IF(OR(Y73&gt;=20/24,Y73&lt;6/24),Y73+6*0.000000001,9))</f>
        <v>9</v>
      </c>
      <c r="AF73" s="3"/>
      <c r="AG73" s="3"/>
    </row>
    <row r="74" ht="15.0" hidden="1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>
        <f>IF(OR('Inventory - P16'!E17&lt;4,'Inventory - P16'!F17="",'Inventory - P16'!G17=""),9,MOD('Inventory - P16'!F17+3*'Inventory - P16'!G17/24,1))</f>
        <v>9</v>
      </c>
      <c r="Z74" s="3">
        <f>IF(Y74=9,9,IF(AND(Y74&gt;=6/24,Y74&lt;12/24),Y74+7*0.000000001,9))</f>
        <v>9</v>
      </c>
      <c r="AA74" s="3">
        <f>IF(Y74=9,9,IF(AND(Y74&gt;=12/24,Y74&lt;17/24),Y74+7*0.000000001,9))</f>
        <v>9</v>
      </c>
      <c r="AB74" s="3">
        <f>IF(Y74=9,9,IF(AND(Y74&gt;=17/24,Y74&lt;20/24),Y74+7*0.000000001,9))</f>
        <v>9</v>
      </c>
      <c r="AC74" s="3">
        <f>IF(Y74=9,9,IF(OR(Y74&gt;=20/24,Y74&lt;6/24),Y74+7*0.000000001,9))</f>
        <v>9</v>
      </c>
      <c r="AF74" s="3"/>
      <c r="AG74" s="3"/>
    </row>
    <row r="75" ht="15.0" hidden="1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>
        <f>IF(OR('Inventory - P16'!E18&lt;1,'Inventory - P16'!F18="",'Inventory - P16'!G18=""),9,MOD('Inventory - P16'!F18+0*'Inventory - P16'!G18/24,1))</f>
        <v>9</v>
      </c>
      <c r="Z75" s="3">
        <f>IF(Y75=9,9,IF(AND(Y75&gt;=6/24,Y75&lt;12/24),Y75+8*0.000000001,9))</f>
        <v>9</v>
      </c>
      <c r="AA75" s="3">
        <f>IF(Y75=9,9,IF(AND(Y75&gt;=12/24,Y75&lt;17/24),Y75+8*0.000000001,9))</f>
        <v>9</v>
      </c>
      <c r="AB75" s="3">
        <f>IF(Y75=9,9,IF(AND(Y75&gt;=17/24,Y75&lt;20/24),Y75+8*0.000000001,9))</f>
        <v>9</v>
      </c>
      <c r="AC75" s="3">
        <f>IF(Y75=9,9,IF(OR(Y75&gt;=20/24,Y75&lt;6/24),Y75+8*0.000000001,9))</f>
        <v>9</v>
      </c>
      <c r="AF75" s="3"/>
      <c r="AG75" s="3"/>
    </row>
    <row r="76" ht="15.0" hidden="1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>
        <f>IF(OR('Inventory - P16'!E18&lt;2,'Inventory - P16'!F18="",'Inventory - P16'!G18=""),9,MOD('Inventory - P16'!F18+1*'Inventory - P16'!G18/24,1))</f>
        <v>9</v>
      </c>
      <c r="Z76" s="3">
        <f>IF(Y76=9,9,IF(AND(Y76&gt;=6/24,Y76&lt;12/24),Y76+9*0.000000001,9))</f>
        <v>9</v>
      </c>
      <c r="AA76" s="3">
        <f>IF(Y76=9,9,IF(AND(Y76&gt;=12/24,Y76&lt;17/24),Y76+9*0.000000001,9))</f>
        <v>9</v>
      </c>
      <c r="AB76" s="3">
        <f>IF(Y76=9,9,IF(AND(Y76&gt;=17/24,Y76&lt;20/24),Y76+9*0.000000001,9))</f>
        <v>9</v>
      </c>
      <c r="AC76" s="3">
        <f>IF(Y76=9,9,IF(OR(Y76&gt;=20/24,Y76&lt;6/24),Y76+9*0.000000001,9))</f>
        <v>9</v>
      </c>
      <c r="AF76" s="3"/>
      <c r="AG76" s="3"/>
    </row>
    <row r="77" ht="15.0" hidden="1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>
        <f>IF(OR('Inventory - P16'!E18&lt;3,'Inventory - P16'!F18="",'Inventory - P16'!G18=""),9,MOD('Inventory - P16'!F18+2*'Inventory - P16'!G18/24,1))</f>
        <v>9</v>
      </c>
      <c r="Z77" s="3">
        <f>IF(Y77=9,9,IF(AND(Y77&gt;=6/24,Y77&lt;12/24),Y77+10*0.000000001,9))</f>
        <v>9</v>
      </c>
      <c r="AA77" s="3">
        <f>IF(Y77=9,9,IF(AND(Y77&gt;=12/24,Y77&lt;17/24),Y77+10*0.000000001,9))</f>
        <v>9</v>
      </c>
      <c r="AB77" s="3">
        <f>IF(Y77=9,9,IF(AND(Y77&gt;=17/24,Y77&lt;20/24),Y77+10*0.000000001,9))</f>
        <v>9</v>
      </c>
      <c r="AC77" s="3">
        <f>IF(Y77=9,9,IF(OR(Y77&gt;=20/24,Y77&lt;6/24),Y77+10*0.000000001,9))</f>
        <v>9</v>
      </c>
      <c r="AF77" s="3"/>
      <c r="AG77" s="3"/>
    </row>
    <row r="78" ht="15.0" hidden="1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>
        <f>IF(OR('Inventory - P16'!E18&lt;4,'Inventory - P16'!F18="",'Inventory - P16'!G18=""),9,MOD('Inventory - P16'!F18+3*'Inventory - P16'!G18/24,1))</f>
        <v>9</v>
      </c>
      <c r="Z78" s="3">
        <f>IF(Y78=9,9,IF(AND(Y78&gt;=6/24,Y78&lt;12/24),Y78+11*0.000000001,9))</f>
        <v>9</v>
      </c>
      <c r="AA78" s="3">
        <f>IF(Y78=9,9,IF(AND(Y78&gt;=12/24,Y78&lt;17/24),Y78+11*0.000000001,9))</f>
        <v>9</v>
      </c>
      <c r="AB78" s="3">
        <f>IF(Y78=9,9,IF(AND(Y78&gt;=17/24,Y78&lt;20/24),Y78+11*0.000000001,9))</f>
        <v>9</v>
      </c>
      <c r="AC78" s="3">
        <f>IF(Y78=9,9,IF(OR(Y78&gt;=20/24,Y78&lt;6/24),Y78+11*0.000000001,9))</f>
        <v>9</v>
      </c>
      <c r="AF78" s="3"/>
      <c r="AG78" s="3"/>
    </row>
    <row r="79" ht="15.0" hidden="1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>
        <f>IF(OR('Inventory - P16'!E19&lt;1,'Inventory - P16'!F19="",'Inventory - P16'!G19=""),9,MOD('Inventory - P16'!F19+0*'Inventory - P16'!G19/24,1))</f>
        <v>9</v>
      </c>
      <c r="Z79" s="3">
        <f>IF(Y79=9,9,IF(AND(Y79&gt;=6/24,Y79&lt;12/24),Y79+12*0.000000001,9))</f>
        <v>9</v>
      </c>
      <c r="AA79" s="3">
        <f>IF(Y79=9,9,IF(AND(Y79&gt;=12/24,Y79&lt;17/24),Y79+12*0.000000001,9))</f>
        <v>9</v>
      </c>
      <c r="AB79" s="3">
        <f>IF(Y79=9,9,IF(AND(Y79&gt;=17/24,Y79&lt;20/24),Y79+12*0.000000001,9))</f>
        <v>9</v>
      </c>
      <c r="AC79" s="3">
        <f>IF(Y79=9,9,IF(OR(Y79&gt;=20/24,Y79&lt;6/24),Y79+12*0.000000001,9))</f>
        <v>9</v>
      </c>
      <c r="AF79" s="3"/>
      <c r="AG79" s="3"/>
    </row>
    <row r="80" ht="15.0" hidden="1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f>IF(OR('Inventory - P16'!E19&lt;2,'Inventory - P16'!F19="",'Inventory - P16'!G19=""),9,MOD('Inventory - P16'!F19+1*'Inventory - P16'!G19/24,1))</f>
        <v>9</v>
      </c>
      <c r="Z80" s="3">
        <f>IF(Y80=9,9,IF(AND(Y80&gt;=6/24,Y80&lt;12/24),Y80+13*0.000000001,9))</f>
        <v>9</v>
      </c>
      <c r="AA80" s="3">
        <f>IF(Y80=9,9,IF(AND(Y80&gt;=12/24,Y80&lt;17/24),Y80+13*0.000000001,9))</f>
        <v>9</v>
      </c>
      <c r="AB80" s="3">
        <f>IF(Y80=9,9,IF(AND(Y80&gt;=17/24,Y80&lt;20/24),Y80+13*0.000000001,9))</f>
        <v>9</v>
      </c>
      <c r="AC80" s="3">
        <f>IF(Y80=9,9,IF(OR(Y80&gt;=20/24,Y80&lt;6/24),Y80+13*0.000000001,9))</f>
        <v>9</v>
      </c>
      <c r="AF80" s="3"/>
      <c r="AG80" s="3"/>
    </row>
    <row r="81" ht="15.0" hidden="1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>
        <f>IF(OR('Inventory - P16'!E19&lt;3,'Inventory - P16'!F19="",'Inventory - P16'!G19=""),9,MOD('Inventory - P16'!F19+2*'Inventory - P16'!G19/24,1))</f>
        <v>9</v>
      </c>
      <c r="Z81" s="3">
        <f>IF(Y81=9,9,IF(AND(Y81&gt;=6/24,Y81&lt;12/24),Y81+14*0.000000001,9))</f>
        <v>9</v>
      </c>
      <c r="AA81" s="3">
        <f>IF(Y81=9,9,IF(AND(Y81&gt;=12/24,Y81&lt;17/24),Y81+14*0.000000001,9))</f>
        <v>9</v>
      </c>
      <c r="AB81" s="3">
        <f>IF(Y81=9,9,IF(AND(Y81&gt;=17/24,Y81&lt;20/24),Y81+14*0.000000001,9))</f>
        <v>9</v>
      </c>
      <c r="AC81" s="3">
        <f>IF(Y81=9,9,IF(OR(Y81&gt;=20/24,Y81&lt;6/24),Y81+14*0.000000001,9))</f>
        <v>9</v>
      </c>
      <c r="AF81" s="3"/>
      <c r="AG81" s="3"/>
    </row>
    <row r="82" ht="15.0" hidden="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>IF(OR('Inventory - P16'!E19&lt;4,'Inventory - P16'!F19="",'Inventory - P16'!G19=""),9,MOD('Inventory - P16'!F19+3*'Inventory - P16'!G19/24,1))</f>
        <v>9</v>
      </c>
      <c r="Z82" s="3">
        <f>IF(Y82=9,9,IF(AND(Y82&gt;=6/24,Y82&lt;12/24),Y82+15*0.000000001,9))</f>
        <v>9</v>
      </c>
      <c r="AA82" s="3">
        <f>IF(Y82=9,9,IF(AND(Y82&gt;=12/24,Y82&lt;17/24),Y82+15*0.000000001,9))</f>
        <v>9</v>
      </c>
      <c r="AB82" s="3">
        <f>IF(Y82=9,9,IF(AND(Y82&gt;=17/24,Y82&lt;20/24),Y82+15*0.000000001,9))</f>
        <v>9</v>
      </c>
      <c r="AC82" s="3">
        <f>IF(Y82=9,9,IF(OR(Y82&gt;=20/24,Y82&lt;6/24),Y82+15*0.000000001,9))</f>
        <v>9</v>
      </c>
      <c r="AF82" s="3"/>
      <c r="AG82" s="3"/>
    </row>
    <row r="83" ht="15.0" hidden="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>IF(OR('Inventory - P16'!E20&lt;1,'Inventory - P16'!F20="",'Inventory - P16'!G20=""),9,MOD('Inventory - P16'!F20+0*'Inventory - P16'!G20/24,1))</f>
        <v>9</v>
      </c>
      <c r="Z83" s="3">
        <f>IF(Y83=9,9,IF(AND(Y83&gt;=6/24,Y83&lt;12/24),Y83+16*0.000000001,9))</f>
        <v>9</v>
      </c>
      <c r="AA83" s="3">
        <f>IF(Y83=9,9,IF(AND(Y83&gt;=12/24,Y83&lt;17/24),Y83+16*0.000000001,9))</f>
        <v>9</v>
      </c>
      <c r="AB83" s="3">
        <f>IF(Y83=9,9,IF(AND(Y83&gt;=17/24,Y83&lt;20/24),Y83+16*0.000000001,9))</f>
        <v>9</v>
      </c>
      <c r="AC83" s="3">
        <f>IF(Y83=9,9,IF(OR(Y83&gt;=20/24,Y83&lt;6/24),Y83+16*0.000000001,9))</f>
        <v>9</v>
      </c>
      <c r="AF83" s="3"/>
      <c r="AG83" s="3"/>
    </row>
    <row r="84" ht="15.0" hidden="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>IF(OR('Inventory - P16'!E20&lt;2,'Inventory - P16'!F20="",'Inventory - P16'!G20=""),9,MOD('Inventory - P16'!F20+1*'Inventory - P16'!G20/24,1))</f>
        <v>9</v>
      </c>
      <c r="Z84" s="3">
        <f>IF(Y84=9,9,IF(AND(Y84&gt;=6/24,Y84&lt;12/24),Y84+17*0.000000001,9))</f>
        <v>9</v>
      </c>
      <c r="AA84" s="3">
        <f>IF(Y84=9,9,IF(AND(Y84&gt;=12/24,Y84&lt;17/24),Y84+17*0.000000001,9))</f>
        <v>9</v>
      </c>
      <c r="AB84" s="3">
        <f>IF(Y84=9,9,IF(AND(Y84&gt;=17/24,Y84&lt;20/24),Y84+17*0.000000001,9))</f>
        <v>9</v>
      </c>
      <c r="AC84" s="3">
        <f>IF(Y84=9,9,IF(OR(Y84&gt;=20/24,Y84&lt;6/24),Y84+17*0.000000001,9))</f>
        <v>9</v>
      </c>
      <c r="AF84" s="3"/>
      <c r="AG84" s="3"/>
    </row>
    <row r="85" ht="15.0" hidden="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>IF(OR('Inventory - P16'!E20&lt;3,'Inventory - P16'!F20="",'Inventory - P16'!G20=""),9,MOD('Inventory - P16'!F20+2*'Inventory - P16'!G20/24,1))</f>
        <v>9</v>
      </c>
      <c r="Z85" s="3">
        <f>IF(Y85=9,9,IF(AND(Y85&gt;=6/24,Y85&lt;12/24),Y85+18*0.000000001,9))</f>
        <v>9</v>
      </c>
      <c r="AA85" s="3">
        <f>IF(Y85=9,9,IF(AND(Y85&gt;=12/24,Y85&lt;17/24),Y85+18*0.000000001,9))</f>
        <v>9</v>
      </c>
      <c r="AB85" s="3">
        <f>IF(Y85=9,9,IF(AND(Y85&gt;=17/24,Y85&lt;20/24),Y85+18*0.000000001,9))</f>
        <v>9</v>
      </c>
      <c r="AC85" s="3">
        <f>IF(Y85=9,9,IF(OR(Y85&gt;=20/24,Y85&lt;6/24),Y85+18*0.000000001,9))</f>
        <v>9</v>
      </c>
      <c r="AF85" s="3"/>
      <c r="AG85" s="3"/>
    </row>
    <row r="86" ht="15.0" hidden="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>
        <f>IF(OR('Inventory - P16'!E20&lt;4,'Inventory - P16'!F20="",'Inventory - P16'!G20=""),9,MOD('Inventory - P16'!F20+3*'Inventory - P16'!G20/24,1))</f>
        <v>9</v>
      </c>
      <c r="Z86" s="3">
        <f>IF(Y86=9,9,IF(AND(Y86&gt;=6/24,Y86&lt;12/24),Y86+19*0.000000001,9))</f>
        <v>9</v>
      </c>
      <c r="AA86" s="3">
        <f>IF(Y86=9,9,IF(AND(Y86&gt;=12/24,Y86&lt;17/24),Y86+19*0.000000001,9))</f>
        <v>9</v>
      </c>
      <c r="AB86" s="3">
        <f>IF(Y86=9,9,IF(AND(Y86&gt;=17/24,Y86&lt;20/24),Y86+19*0.000000001,9))</f>
        <v>9</v>
      </c>
      <c r="AC86" s="3">
        <f>IF(Y86=9,9,IF(OR(Y86&gt;=20/24,Y86&lt;6/24),Y86+19*0.000000001,9))</f>
        <v>9</v>
      </c>
      <c r="AF86" s="3"/>
      <c r="AG86" s="3"/>
    </row>
    <row r="87" ht="15.0" hidden="1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>
        <f>IF(OR('Inventory - P16'!E21&lt;1,'Inventory - P16'!F21="",'Inventory - P16'!G21=""),9,MOD('Inventory - P16'!F21+0*'Inventory - P16'!G21/24,1))</f>
        <v>9</v>
      </c>
      <c r="Z87" s="3">
        <f>IF(Y87=9,9,IF(AND(Y87&gt;=6/24,Y87&lt;12/24),Y87+20*0.000000001,9))</f>
        <v>9</v>
      </c>
      <c r="AA87" s="3">
        <f>IF(Y87=9,9,IF(AND(Y87&gt;=12/24,Y87&lt;17/24),Y87+20*0.000000001,9))</f>
        <v>9</v>
      </c>
      <c r="AB87" s="3">
        <f>IF(Y87=9,9,IF(AND(Y87&gt;=17/24,Y87&lt;20/24),Y87+20*0.000000001,9))</f>
        <v>9</v>
      </c>
      <c r="AC87" s="3">
        <f>IF(Y87=9,9,IF(OR(Y87&gt;=20/24,Y87&lt;6/24),Y87+20*0.000000001,9))</f>
        <v>9</v>
      </c>
      <c r="AF87" s="3"/>
      <c r="AG87" s="3"/>
    </row>
    <row r="88" ht="15.0" hidden="1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>
        <f>IF(OR('Inventory - P16'!E21&lt;2,'Inventory - P16'!F21="",'Inventory - P16'!G21=""),9,MOD('Inventory - P16'!F21+1*'Inventory - P16'!G21/24,1))</f>
        <v>9</v>
      </c>
      <c r="Z88" s="3">
        <f>IF(Y88=9,9,IF(AND(Y88&gt;=6/24,Y88&lt;12/24),Y88+21*0.000000001,9))</f>
        <v>9</v>
      </c>
      <c r="AA88" s="3">
        <f>IF(Y88=9,9,IF(AND(Y88&gt;=12/24,Y88&lt;17/24),Y88+21*0.000000001,9))</f>
        <v>9</v>
      </c>
      <c r="AB88" s="3">
        <f>IF(Y88=9,9,IF(AND(Y88&gt;=17/24,Y88&lt;20/24),Y88+21*0.000000001,9))</f>
        <v>9</v>
      </c>
      <c r="AC88" s="3">
        <f>IF(Y88=9,9,IF(OR(Y88&gt;=20/24,Y88&lt;6/24),Y88+21*0.000000001,9))</f>
        <v>9</v>
      </c>
      <c r="AF88" s="3"/>
      <c r="AG88" s="3"/>
    </row>
    <row r="89" ht="15.0" hidden="1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>
        <f>IF(OR('Inventory - P16'!E21&lt;3,'Inventory - P16'!F21="",'Inventory - P16'!G21=""),9,MOD('Inventory - P16'!F21+2*'Inventory - P16'!G21/24,1))</f>
        <v>9</v>
      </c>
      <c r="Z89" s="3">
        <f>IF(Y89=9,9,IF(AND(Y89&gt;=6/24,Y89&lt;12/24),Y89+22*0.000000001,9))</f>
        <v>9</v>
      </c>
      <c r="AA89" s="3">
        <f>IF(Y89=9,9,IF(AND(Y89&gt;=12/24,Y89&lt;17/24),Y89+22*0.000000001,9))</f>
        <v>9</v>
      </c>
      <c r="AB89" s="3">
        <f>IF(Y89=9,9,IF(AND(Y89&gt;=17/24,Y89&lt;20/24),Y89+22*0.000000001,9))</f>
        <v>9</v>
      </c>
      <c r="AC89" s="3">
        <f>IF(Y89=9,9,IF(OR(Y89&gt;=20/24,Y89&lt;6/24),Y89+22*0.000000001,9))</f>
        <v>9</v>
      </c>
      <c r="AF89" s="3"/>
      <c r="AG89" s="3"/>
    </row>
    <row r="90" ht="15.0" hidden="1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>
        <f>IF(OR('Inventory - P16'!E21&lt;4,'Inventory - P16'!F21="",'Inventory - P16'!G21=""),9,MOD('Inventory - P16'!F21+3*'Inventory - P16'!G21/24,1))</f>
        <v>9</v>
      </c>
      <c r="Z90" s="3">
        <f>IF(Y90=9,9,IF(AND(Y90&gt;=6/24,Y90&lt;12/24),Y90+23*0.000000001,9))</f>
        <v>9</v>
      </c>
      <c r="AA90" s="3">
        <f>IF(Y90=9,9,IF(AND(Y90&gt;=12/24,Y90&lt;17/24),Y90+23*0.000000001,9))</f>
        <v>9</v>
      </c>
      <c r="AB90" s="3">
        <f>IF(Y90=9,9,IF(AND(Y90&gt;=17/24,Y90&lt;20/24),Y90+23*0.000000001,9))</f>
        <v>9</v>
      </c>
      <c r="AC90" s="3">
        <f>IF(Y90=9,9,IF(OR(Y90&gt;=20/24,Y90&lt;6/24),Y90+23*0.000000001,9))</f>
        <v>9</v>
      </c>
      <c r="AF90" s="3"/>
      <c r="AG90" s="3"/>
    </row>
    <row r="91" ht="15.0" hidden="1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>
        <f>IF(OR('Inventory - P16'!E22&lt;1,'Inventory - P16'!F22="",'Inventory - P16'!G22=""),9,MOD('Inventory - P16'!F22+0*'Inventory - P16'!G22/24,1))</f>
        <v>9</v>
      </c>
      <c r="Z91" s="3">
        <f>IF(Y91=9,9,IF(AND(Y91&gt;=6/24,Y91&lt;12/24),Y91+24*0.000000001,9))</f>
        <v>9</v>
      </c>
      <c r="AA91" s="3">
        <f>IF(Y91=9,9,IF(AND(Y91&gt;=12/24,Y91&lt;17/24),Y91+24*0.000000001,9))</f>
        <v>9</v>
      </c>
      <c r="AB91" s="3">
        <f>IF(Y91=9,9,IF(AND(Y91&gt;=17/24,Y91&lt;20/24),Y91+24*0.000000001,9))</f>
        <v>9</v>
      </c>
      <c r="AC91" s="3">
        <f>IF(Y91=9,9,IF(OR(Y91&gt;=20/24,Y91&lt;6/24),Y91+24*0.000000001,9))</f>
        <v>9</v>
      </c>
      <c r="AF91" s="3"/>
      <c r="AG91" s="3"/>
    </row>
    <row r="92" ht="15.0" hidden="1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>
        <f>IF(OR('Inventory - P16'!E22&lt;2,'Inventory - P16'!F22="",'Inventory - P16'!G22=""),9,MOD('Inventory - P16'!F22+1*'Inventory - P16'!G22/24,1))</f>
        <v>9</v>
      </c>
      <c r="Z92" s="3">
        <f>IF(Y92=9,9,IF(AND(Y92&gt;=6/24,Y92&lt;12/24),Y92+25*0.000000001,9))</f>
        <v>9</v>
      </c>
      <c r="AA92" s="3">
        <f>IF(Y92=9,9,IF(AND(Y92&gt;=12/24,Y92&lt;17/24),Y92+25*0.000000001,9))</f>
        <v>9</v>
      </c>
      <c r="AB92" s="3">
        <f>IF(Y92=9,9,IF(AND(Y92&gt;=17/24,Y92&lt;20/24),Y92+25*0.000000001,9))</f>
        <v>9</v>
      </c>
      <c r="AC92" s="3">
        <f>IF(Y92=9,9,IF(OR(Y92&gt;=20/24,Y92&lt;6/24),Y92+25*0.000000001,9))</f>
        <v>9</v>
      </c>
      <c r="AF92" s="3"/>
      <c r="AG92" s="3"/>
    </row>
    <row r="93" ht="15.0" hidden="1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>
        <f>IF(OR('Inventory - P16'!E22&lt;3,'Inventory - P16'!F22="",'Inventory - P16'!G22=""),9,MOD('Inventory - P16'!F22+2*'Inventory - P16'!G22/24,1))</f>
        <v>9</v>
      </c>
      <c r="Z93" s="3">
        <f>IF(Y93=9,9,IF(AND(Y93&gt;=6/24,Y93&lt;12/24),Y93+26*0.000000001,9))</f>
        <v>9</v>
      </c>
      <c r="AA93" s="3">
        <f>IF(Y93=9,9,IF(AND(Y93&gt;=12/24,Y93&lt;17/24),Y93+26*0.000000001,9))</f>
        <v>9</v>
      </c>
      <c r="AB93" s="3">
        <f>IF(Y93=9,9,IF(AND(Y93&gt;=17/24,Y93&lt;20/24),Y93+26*0.000000001,9))</f>
        <v>9</v>
      </c>
      <c r="AC93" s="3">
        <f>IF(Y93=9,9,IF(OR(Y93&gt;=20/24,Y93&lt;6/24),Y93+26*0.000000001,9))</f>
        <v>9</v>
      </c>
      <c r="AF93" s="3"/>
      <c r="AG93" s="3"/>
    </row>
    <row r="94" ht="15.0" hidden="1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>
        <f>IF(OR('Inventory - P16'!E22&lt;4,'Inventory - P16'!F22="",'Inventory - P16'!G22=""),9,MOD('Inventory - P16'!F22+3*'Inventory - P16'!G22/24,1))</f>
        <v>9</v>
      </c>
      <c r="Z94" s="3">
        <f>IF(Y94=9,9,IF(AND(Y94&gt;=6/24,Y94&lt;12/24),Y94+27*0.000000001,9))</f>
        <v>9</v>
      </c>
      <c r="AA94" s="3">
        <f>IF(Y94=9,9,IF(AND(Y94&gt;=12/24,Y94&lt;17/24),Y94+27*0.000000001,9))</f>
        <v>9</v>
      </c>
      <c r="AB94" s="3">
        <f>IF(Y94=9,9,IF(AND(Y94&gt;=17/24,Y94&lt;20/24),Y94+27*0.000000001,9))</f>
        <v>9</v>
      </c>
      <c r="AC94" s="3">
        <f>IF(Y94=9,9,IF(OR(Y94&gt;=20/24,Y94&lt;6/24),Y94+27*0.000000001,9))</f>
        <v>9</v>
      </c>
      <c r="AF94" s="3"/>
      <c r="AG94" s="3"/>
    </row>
    <row r="95" ht="15.0" hidden="1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>
        <f>IF(OR('Inventory - P16'!E23&lt;1,'Inventory - P16'!F23="",'Inventory - P16'!G23=""),9,MOD('Inventory - P16'!F23+0*'Inventory - P16'!G23/24,1))</f>
        <v>9</v>
      </c>
      <c r="Z95" s="3">
        <f>IF(Y95=9,9,IF(AND(Y95&gt;=6/24,Y95&lt;12/24),Y95+28*0.000000001,9))</f>
        <v>9</v>
      </c>
      <c r="AA95" s="3">
        <f>IF(Y95=9,9,IF(AND(Y95&gt;=12/24,Y95&lt;17/24),Y95+28*0.000000001,9))</f>
        <v>9</v>
      </c>
      <c r="AB95" s="3">
        <f>IF(Y95=9,9,IF(AND(Y95&gt;=17/24,Y95&lt;20/24),Y95+28*0.000000001,9))</f>
        <v>9</v>
      </c>
      <c r="AC95" s="3">
        <f>IF(Y95=9,9,IF(OR(Y95&gt;=20/24,Y95&lt;6/24),Y95+28*0.000000001,9))</f>
        <v>9</v>
      </c>
      <c r="AF95" s="3"/>
      <c r="AG95" s="3"/>
    </row>
    <row r="96" ht="15.0" hidden="1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>
        <f>IF(OR('Inventory - P16'!E23&lt;2,'Inventory - P16'!F23="",'Inventory - P16'!G23=""),9,MOD('Inventory - P16'!F23+1*'Inventory - P16'!G23/24,1))</f>
        <v>9</v>
      </c>
      <c r="Z96" s="3">
        <f>IF(Y96=9,9,IF(AND(Y96&gt;=6/24,Y96&lt;12/24),Y96+29*0.000000001,9))</f>
        <v>9</v>
      </c>
      <c r="AA96" s="3">
        <f>IF(Y96=9,9,IF(AND(Y96&gt;=12/24,Y96&lt;17/24),Y96+29*0.000000001,9))</f>
        <v>9</v>
      </c>
      <c r="AB96" s="3">
        <f>IF(Y96=9,9,IF(AND(Y96&gt;=17/24,Y96&lt;20/24),Y96+29*0.000000001,9))</f>
        <v>9</v>
      </c>
      <c r="AC96" s="3">
        <f>IF(Y96=9,9,IF(OR(Y96&gt;=20/24,Y96&lt;6/24),Y96+29*0.000000001,9))</f>
        <v>9</v>
      </c>
      <c r="AF96" s="3"/>
      <c r="AG96" s="3"/>
    </row>
    <row r="97" ht="15.0" hidden="1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>IF(OR('Inventory - P16'!E23&lt;3,'Inventory - P16'!F23="",'Inventory - P16'!G23=""),9,MOD('Inventory - P16'!F23+2*'Inventory - P16'!G23/24,1))</f>
        <v>9</v>
      </c>
      <c r="Z97" s="3">
        <f>IF(Y97=9,9,IF(AND(Y97&gt;=6/24,Y97&lt;12/24),Y97+30*0.000000001,9))</f>
        <v>9</v>
      </c>
      <c r="AA97" s="3">
        <f>IF(Y97=9,9,IF(AND(Y97&gt;=12/24,Y97&lt;17/24),Y97+30*0.000000001,9))</f>
        <v>9</v>
      </c>
      <c r="AB97" s="3">
        <f>IF(Y97=9,9,IF(AND(Y97&gt;=17/24,Y97&lt;20/24),Y97+30*0.000000001,9))</f>
        <v>9</v>
      </c>
      <c r="AC97" s="3">
        <f>IF(Y97=9,9,IF(OR(Y97&gt;=20/24,Y97&lt;6/24),Y97+30*0.000000001,9))</f>
        <v>9</v>
      </c>
      <c r="AF97" s="3"/>
      <c r="AG97" s="3"/>
    </row>
    <row r="98" ht="15.0" hidden="1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>IF(OR('Inventory - P16'!E23&lt;4,'Inventory - P16'!F23="",'Inventory - P16'!G23=""),9,MOD('Inventory - P16'!F23+3*'Inventory - P16'!G23/24,1))</f>
        <v>9</v>
      </c>
      <c r="Z98" s="3">
        <f>IF(Y98=9,9,IF(AND(Y98&gt;=6/24,Y98&lt;12/24),Y98+31*0.000000001,9))</f>
        <v>9</v>
      </c>
      <c r="AA98" s="3">
        <f>IF(Y98=9,9,IF(AND(Y98&gt;=12/24,Y98&lt;17/24),Y98+31*0.000000001,9))</f>
        <v>9</v>
      </c>
      <c r="AB98" s="3">
        <f>IF(Y98=9,9,IF(AND(Y98&gt;=17/24,Y98&lt;20/24),Y98+31*0.000000001,9))</f>
        <v>9</v>
      </c>
      <c r="AC98" s="3">
        <f>IF(Y98=9,9,IF(OR(Y98&gt;=20/24,Y98&lt;6/24),Y98+31*0.000000001,9))</f>
        <v>9</v>
      </c>
      <c r="AF98" s="3"/>
      <c r="AG98" s="3"/>
    </row>
    <row r="99" ht="15.0" hidden="1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>IF(OR('Inventory - P16'!E24&lt;1,'Inventory - P16'!F24="",'Inventory - P16'!G24=""),9,MOD('Inventory - P16'!F24+0*'Inventory - P16'!G24/24,1))</f>
        <v>9</v>
      </c>
      <c r="Z99" s="3">
        <f>IF(Y99=9,9,IF(AND(Y99&gt;=6/24,Y99&lt;12/24),Y99+32*0.000000001,9))</f>
        <v>9</v>
      </c>
      <c r="AA99" s="3">
        <f>IF(Y99=9,9,IF(AND(Y99&gt;=12/24,Y99&lt;17/24),Y99+32*0.000000001,9))</f>
        <v>9</v>
      </c>
      <c r="AB99" s="3">
        <f>IF(Y99=9,9,IF(AND(Y99&gt;=17/24,Y99&lt;20/24),Y99+32*0.000000001,9))</f>
        <v>9</v>
      </c>
      <c r="AC99" s="3">
        <f>IF(Y99=9,9,IF(OR(Y99&gt;=20/24,Y99&lt;6/24),Y99+32*0.000000001,9))</f>
        <v>9</v>
      </c>
      <c r="AF99" s="3"/>
      <c r="AG99" s="3"/>
    </row>
    <row r="100" ht="15.0" hidden="1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>IF(OR('Inventory - P16'!E24&lt;2,'Inventory - P16'!F24="",'Inventory - P16'!G24=""),9,MOD('Inventory - P16'!F24+1*'Inventory - P16'!G24/24,1))</f>
        <v>9</v>
      </c>
      <c r="Z100" s="3">
        <f>IF(Y100=9,9,IF(AND(Y100&gt;=6/24,Y100&lt;12/24),Y100+33*0.000000001,9))</f>
        <v>9</v>
      </c>
      <c r="AA100" s="3">
        <f>IF(Y100=9,9,IF(AND(Y100&gt;=12/24,Y100&lt;17/24),Y100+33*0.000000001,9))</f>
        <v>9</v>
      </c>
      <c r="AB100" s="3">
        <f>IF(Y100=9,9,IF(AND(Y100&gt;=17/24,Y100&lt;20/24),Y100+33*0.000000001,9))</f>
        <v>9</v>
      </c>
      <c r="AC100" s="3">
        <f>IF(Y100=9,9,IF(OR(Y100&gt;=20/24,Y100&lt;6/24),Y100+33*0.000000001,9))</f>
        <v>9</v>
      </c>
      <c r="AF100" s="3"/>
      <c r="AG100" s="3"/>
    </row>
    <row r="101" ht="15.0" hidden="1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>
        <f>IF(OR('Inventory - P16'!E24&lt;3,'Inventory - P16'!F24="",'Inventory - P16'!G24=""),9,MOD('Inventory - P16'!F24+2*'Inventory - P16'!G24/24,1))</f>
        <v>9</v>
      </c>
      <c r="Z101" s="3">
        <f>IF(Y101=9,9,IF(AND(Y101&gt;=6/24,Y101&lt;12/24),Y101+34*0.000000001,9))</f>
        <v>9</v>
      </c>
      <c r="AA101" s="3">
        <f>IF(Y101=9,9,IF(AND(Y101&gt;=12/24,Y101&lt;17/24),Y101+34*0.000000001,9))</f>
        <v>9</v>
      </c>
      <c r="AB101" s="3">
        <f>IF(Y101=9,9,IF(AND(Y101&gt;=17/24,Y101&lt;20/24),Y101+34*0.000000001,9))</f>
        <v>9</v>
      </c>
      <c r="AC101" s="3">
        <f>IF(Y101=9,9,IF(OR(Y101&gt;=20/24,Y101&lt;6/24),Y101+34*0.000000001,9))</f>
        <v>9</v>
      </c>
      <c r="AF101" s="3"/>
      <c r="AG101" s="3"/>
    </row>
    <row r="102" ht="15.0" hidden="1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>IF(OR('Inventory - P16'!E24&lt;4,'Inventory - P16'!F24="",'Inventory - P16'!G24=""),9,MOD('Inventory - P16'!F24+3*'Inventory - P16'!G24/24,1))</f>
        <v>9</v>
      </c>
      <c r="Z102" s="3">
        <f>IF(Y102=9,9,IF(AND(Y102&gt;=6/24,Y102&lt;12/24),Y102+35*0.000000001,9))</f>
        <v>9</v>
      </c>
      <c r="AA102" s="3">
        <f>IF(Y102=9,9,IF(AND(Y102&gt;=12/24,Y102&lt;17/24),Y102+35*0.000000001,9))</f>
        <v>9</v>
      </c>
      <c r="AB102" s="3">
        <f>IF(Y102=9,9,IF(AND(Y102&gt;=17/24,Y102&lt;20/24),Y102+35*0.000000001,9))</f>
        <v>9</v>
      </c>
      <c r="AC102" s="3">
        <f>IF(Y102=9,9,IF(OR(Y102&gt;=20/24,Y102&lt;6/24),Y102+35*0.000000001,9))</f>
        <v>9</v>
      </c>
      <c r="AF102" s="3"/>
      <c r="AG102" s="3"/>
    </row>
    <row r="103" ht="15.0" hidden="1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>
        <f>IF(OR('Inventory - P16'!E25&lt;1,'Inventory - P16'!F25="",'Inventory - P16'!G25=""),9,MOD('Inventory - P16'!F25+0*'Inventory - P16'!G25/24,1))</f>
        <v>9</v>
      </c>
      <c r="Z103" s="3">
        <f>IF(Y103=9,9,IF(AND(Y103&gt;=6/24,Y103&lt;12/24),Y103+36*0.000000001,9))</f>
        <v>9</v>
      </c>
      <c r="AA103" s="3">
        <f>IF(Y103=9,9,IF(AND(Y103&gt;=12/24,Y103&lt;17/24),Y103+36*0.000000001,9))</f>
        <v>9</v>
      </c>
      <c r="AB103" s="3">
        <f>IF(Y103=9,9,IF(AND(Y103&gt;=17/24,Y103&lt;20/24),Y103+36*0.000000001,9))</f>
        <v>9</v>
      </c>
      <c r="AC103" s="3">
        <f>IF(Y103=9,9,IF(OR(Y103&gt;=20/24,Y103&lt;6/24),Y103+36*0.000000001,9))</f>
        <v>9</v>
      </c>
      <c r="AF103" s="3"/>
      <c r="AG103" s="3"/>
    </row>
    <row r="104" ht="15.0" hidden="1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>IF(OR('Inventory - P16'!E25&lt;2,'Inventory - P16'!F25="",'Inventory - P16'!G25=""),9,MOD('Inventory - P16'!F25+1*'Inventory - P16'!G25/24,1))</f>
        <v>9</v>
      </c>
      <c r="Z104" s="3">
        <f>IF(Y104=9,9,IF(AND(Y104&gt;=6/24,Y104&lt;12/24),Y104+37*0.000000001,9))</f>
        <v>9</v>
      </c>
      <c r="AA104" s="3">
        <f>IF(Y104=9,9,IF(AND(Y104&gt;=12/24,Y104&lt;17/24),Y104+37*0.000000001,9))</f>
        <v>9</v>
      </c>
      <c r="AB104" s="3">
        <f>IF(Y104=9,9,IF(AND(Y104&gt;=17/24,Y104&lt;20/24),Y104+37*0.000000001,9))</f>
        <v>9</v>
      </c>
      <c r="AC104" s="3">
        <f>IF(Y104=9,9,IF(OR(Y104&gt;=20/24,Y104&lt;6/24),Y104+37*0.000000001,9))</f>
        <v>9</v>
      </c>
      <c r="AF104" s="3"/>
      <c r="AG104" s="3"/>
    </row>
    <row r="105" ht="15.0" hidden="1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>
        <f>IF(OR('Inventory - P16'!E25&lt;3,'Inventory - P16'!F25="",'Inventory - P16'!G25=""),9,MOD('Inventory - P16'!F25+2*'Inventory - P16'!G25/24,1))</f>
        <v>9</v>
      </c>
      <c r="Z105" s="3">
        <f>IF(Y105=9,9,IF(AND(Y105&gt;=6/24,Y105&lt;12/24),Y105+38*0.000000001,9))</f>
        <v>9</v>
      </c>
      <c r="AA105" s="3">
        <f>IF(Y105=9,9,IF(AND(Y105&gt;=12/24,Y105&lt;17/24),Y105+38*0.000000001,9))</f>
        <v>9</v>
      </c>
      <c r="AB105" s="3">
        <f>IF(Y105=9,9,IF(AND(Y105&gt;=17/24,Y105&lt;20/24),Y105+38*0.000000001,9))</f>
        <v>9</v>
      </c>
      <c r="AC105" s="3">
        <f>IF(Y105=9,9,IF(OR(Y105&gt;=20/24,Y105&lt;6/24),Y105+38*0.000000001,9))</f>
        <v>9</v>
      </c>
      <c r="AF105" s="3"/>
      <c r="AG105" s="3"/>
    </row>
    <row r="106" ht="15.0" hidden="1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>
        <f>IF(OR('Inventory - P16'!E25&lt;4,'Inventory - P16'!F25="",'Inventory - P16'!G25=""),9,MOD('Inventory - P16'!F25+3*'Inventory - P16'!G25/24,1))</f>
        <v>9</v>
      </c>
      <c r="Z106" s="3">
        <f>IF(Y106=9,9,IF(AND(Y106&gt;=6/24,Y106&lt;12/24),Y106+39*0.000000001,9))</f>
        <v>9</v>
      </c>
      <c r="AA106" s="3">
        <f>IF(Y106=9,9,IF(AND(Y106&gt;=12/24,Y106&lt;17/24),Y106+39*0.000000001,9))</f>
        <v>9</v>
      </c>
      <c r="AB106" s="3">
        <f>IF(Y106=9,9,IF(AND(Y106&gt;=17/24,Y106&lt;20/24),Y106+39*0.000000001,9))</f>
        <v>9</v>
      </c>
      <c r="AC106" s="3">
        <f>IF(Y106=9,9,IF(OR(Y106&gt;=20/24,Y106&lt;6/24),Y106+39*0.000000001,9))</f>
        <v>9</v>
      </c>
      <c r="AF106" s="3"/>
      <c r="AG106" s="3"/>
    </row>
    <row r="107" ht="15.0" hidden="1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>
        <f>IF(OR('Inventory - P16'!E26&lt;1,'Inventory - P16'!F26="",'Inventory - P16'!G26=""),9,MOD('Inventory - P16'!F26+0*'Inventory - P16'!G26/24,1))</f>
        <v>9</v>
      </c>
      <c r="Z107" s="3">
        <f>IF(Y107=9,9,IF(AND(Y107&gt;=6/24,Y107&lt;12/24),Y107+40*0.000000001,9))</f>
        <v>9</v>
      </c>
      <c r="AA107" s="3">
        <f>IF(Y107=9,9,IF(AND(Y107&gt;=12/24,Y107&lt;17/24),Y107+40*0.000000001,9))</f>
        <v>9</v>
      </c>
      <c r="AB107" s="3">
        <f>IF(Y107=9,9,IF(AND(Y107&gt;=17/24,Y107&lt;20/24),Y107+40*0.000000001,9))</f>
        <v>9</v>
      </c>
      <c r="AC107" s="3">
        <f>IF(Y107=9,9,IF(OR(Y107&gt;=20/24,Y107&lt;6/24),Y107+40*0.000000001,9))</f>
        <v>9</v>
      </c>
      <c r="AF107" s="3"/>
      <c r="AG107" s="3"/>
    </row>
    <row r="108" ht="15.0" hidden="1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>
        <f>IF(OR('Inventory - P16'!E26&lt;2,'Inventory - P16'!F26="",'Inventory - P16'!G26=""),9,MOD('Inventory - P16'!F26+1*'Inventory - P16'!G26/24,1))</f>
        <v>9</v>
      </c>
      <c r="Z108" s="3">
        <f>IF(Y108=9,9,IF(AND(Y108&gt;=6/24,Y108&lt;12/24),Y108+41*0.000000001,9))</f>
        <v>9</v>
      </c>
      <c r="AA108" s="3">
        <f>IF(Y108=9,9,IF(AND(Y108&gt;=12/24,Y108&lt;17/24),Y108+41*0.000000001,9))</f>
        <v>9</v>
      </c>
      <c r="AB108" s="3">
        <f>IF(Y108=9,9,IF(AND(Y108&gt;=17/24,Y108&lt;20/24),Y108+41*0.000000001,9))</f>
        <v>9</v>
      </c>
      <c r="AC108" s="3">
        <f>IF(Y108=9,9,IF(OR(Y108&gt;=20/24,Y108&lt;6/24),Y108+41*0.000000001,9))</f>
        <v>9</v>
      </c>
      <c r="AF108" s="3"/>
      <c r="AG108" s="3"/>
    </row>
    <row r="109" ht="15.0" hidden="1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>
        <f>IF(OR('Inventory - P16'!E26&lt;3,'Inventory - P16'!F26="",'Inventory - P16'!G26=""),9,MOD('Inventory - P16'!F26+2*'Inventory - P16'!G26/24,1))</f>
        <v>9</v>
      </c>
      <c r="Z109" s="3">
        <f>IF(Y109=9,9,IF(AND(Y109&gt;=6/24,Y109&lt;12/24),Y109+42*0.000000001,9))</f>
        <v>9</v>
      </c>
      <c r="AA109" s="3">
        <f>IF(Y109=9,9,IF(AND(Y109&gt;=12/24,Y109&lt;17/24),Y109+42*0.000000001,9))</f>
        <v>9</v>
      </c>
      <c r="AB109" s="3">
        <f>IF(Y109=9,9,IF(AND(Y109&gt;=17/24,Y109&lt;20/24),Y109+42*0.000000001,9))</f>
        <v>9</v>
      </c>
      <c r="AC109" s="3">
        <f>IF(Y109=9,9,IF(OR(Y109&gt;=20/24,Y109&lt;6/24),Y109+42*0.000000001,9))</f>
        <v>9</v>
      </c>
      <c r="AF109" s="3"/>
      <c r="AG109" s="3"/>
    </row>
    <row r="110" ht="15.0" hidden="1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>
        <f>IF(OR('Inventory - P16'!E26&lt;4,'Inventory - P16'!F26="",'Inventory - P16'!G26=""),9,MOD('Inventory - P16'!F26+3*'Inventory - P16'!G26/24,1))</f>
        <v>9</v>
      </c>
      <c r="Z110" s="3">
        <f>IF(Y110=9,9,IF(AND(Y110&gt;=6/24,Y110&lt;12/24),Y110+43*0.000000001,9))</f>
        <v>9</v>
      </c>
      <c r="AA110" s="3">
        <f>IF(Y110=9,9,IF(AND(Y110&gt;=12/24,Y110&lt;17/24),Y110+43*0.000000001,9))</f>
        <v>9</v>
      </c>
      <c r="AB110" s="3">
        <f>IF(Y110=9,9,IF(AND(Y110&gt;=17/24,Y110&lt;20/24),Y110+43*0.000000001,9))</f>
        <v>9</v>
      </c>
      <c r="AC110" s="3">
        <f>IF(Y110=9,9,IF(OR(Y110&gt;=20/24,Y110&lt;6/24),Y110+43*0.000000001,9))</f>
        <v>9</v>
      </c>
      <c r="AF110" s="3"/>
      <c r="AG110" s="3"/>
    </row>
    <row r="111" ht="15.0" hidden="1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>
        <f>IF(OR('Inventory - P16'!E27&lt;1,'Inventory - P16'!F27="",'Inventory - P16'!G27=""),9,MOD('Inventory - P16'!F27+0*'Inventory - P16'!G27/24,1))</f>
        <v>9</v>
      </c>
      <c r="Z111" s="3">
        <f>IF(Y111=9,9,IF(AND(Y111&gt;=6/24,Y111&lt;12/24),Y111+44*0.000000001,9))</f>
        <v>9</v>
      </c>
      <c r="AA111" s="3">
        <f>IF(Y111=9,9,IF(AND(Y111&gt;=12/24,Y111&lt;17/24),Y111+44*0.000000001,9))</f>
        <v>9</v>
      </c>
      <c r="AB111" s="3">
        <f>IF(Y111=9,9,IF(AND(Y111&gt;=17/24,Y111&lt;20/24),Y111+44*0.000000001,9))</f>
        <v>9</v>
      </c>
      <c r="AC111" s="3">
        <f>IF(Y111=9,9,IF(OR(Y111&gt;=20/24,Y111&lt;6/24),Y111+44*0.000000001,9))</f>
        <v>9</v>
      </c>
      <c r="AF111" s="3"/>
      <c r="AG111" s="3"/>
    </row>
    <row r="112" ht="15.0" hidden="1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>
        <f>IF(OR('Inventory - P16'!E27&lt;2,'Inventory - P16'!F27="",'Inventory - P16'!G27=""),9,MOD('Inventory - P16'!F27+1*'Inventory - P16'!G27/24,1))</f>
        <v>9</v>
      </c>
      <c r="Z112" s="3">
        <f>IF(Y112=9,9,IF(AND(Y112&gt;=6/24,Y112&lt;12/24),Y112+45*0.000000001,9))</f>
        <v>9</v>
      </c>
      <c r="AA112" s="3">
        <f>IF(Y112=9,9,IF(AND(Y112&gt;=12/24,Y112&lt;17/24),Y112+45*0.000000001,9))</f>
        <v>9</v>
      </c>
      <c r="AB112" s="3">
        <f>IF(Y112=9,9,IF(AND(Y112&gt;=17/24,Y112&lt;20/24),Y112+45*0.000000001,9))</f>
        <v>9</v>
      </c>
      <c r="AC112" s="3">
        <f>IF(Y112=9,9,IF(OR(Y112&gt;=20/24,Y112&lt;6/24),Y112+45*0.000000001,9))</f>
        <v>9</v>
      </c>
      <c r="AF112" s="3"/>
      <c r="AG112" s="3"/>
    </row>
    <row r="113" ht="15.0" hidden="1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>
        <f>IF(OR('Inventory - P16'!E27&lt;3,'Inventory - P16'!F27="",'Inventory - P16'!G27=""),9,MOD('Inventory - P16'!F27+2*'Inventory - P16'!G27/24,1))</f>
        <v>9</v>
      </c>
      <c r="Z113" s="3">
        <f>IF(Y113=9,9,IF(AND(Y113&gt;=6/24,Y113&lt;12/24),Y113+46*0.000000001,9))</f>
        <v>9</v>
      </c>
      <c r="AA113" s="3">
        <f>IF(Y113=9,9,IF(AND(Y113&gt;=12/24,Y113&lt;17/24),Y113+46*0.000000001,9))</f>
        <v>9</v>
      </c>
      <c r="AB113" s="3">
        <f>IF(Y113=9,9,IF(AND(Y113&gt;=17/24,Y113&lt;20/24),Y113+46*0.000000001,9))</f>
        <v>9</v>
      </c>
      <c r="AC113" s="3">
        <f>IF(Y113=9,9,IF(OR(Y113&gt;=20/24,Y113&lt;6/24),Y113+46*0.000000001,9))</f>
        <v>9</v>
      </c>
      <c r="AF113" s="3"/>
      <c r="AG113" s="3"/>
    </row>
    <row r="114" ht="15.0" hidden="1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>
        <f>IF(OR('Inventory - P16'!E27&lt;4,'Inventory - P16'!F27="",'Inventory - P16'!G27=""),9,MOD('Inventory - P16'!F27+3*'Inventory - P16'!G27/24,1))</f>
        <v>9</v>
      </c>
      <c r="Z114" s="3">
        <f>IF(Y114=9,9,IF(AND(Y114&gt;=6/24,Y114&lt;12/24),Y114+47*0.000000001,9))</f>
        <v>9</v>
      </c>
      <c r="AA114" s="3">
        <f>IF(Y114=9,9,IF(AND(Y114&gt;=12/24,Y114&lt;17/24),Y114+47*0.000000001,9))</f>
        <v>9</v>
      </c>
      <c r="AB114" s="3">
        <f>IF(Y114=9,9,IF(AND(Y114&gt;=17/24,Y114&lt;20/24),Y114+47*0.000000001,9))</f>
        <v>9</v>
      </c>
      <c r="AC114" s="3">
        <f>IF(Y114=9,9,IF(OR(Y114&gt;=20/24,Y114&lt;6/24),Y114+47*0.000000001,9))</f>
        <v>9</v>
      </c>
      <c r="AF114" s="3"/>
      <c r="AG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F115" s="3"/>
      <c r="AG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F116" s="3"/>
      <c r="AG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F117" s="3"/>
      <c r="AG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F118" s="3"/>
      <c r="AG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F119" s="3"/>
      <c r="AG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F120" s="3"/>
      <c r="AG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F121" s="3"/>
      <c r="AG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F122" s="3"/>
      <c r="AG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F123" s="3"/>
      <c r="AG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F124" s="3"/>
      <c r="AG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F125" s="3"/>
      <c r="AG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F126" s="3"/>
      <c r="AG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F127" s="3"/>
      <c r="AG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F128" s="3"/>
      <c r="AG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F129" s="3"/>
      <c r="AG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F130" s="3"/>
      <c r="AG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F131" s="3"/>
      <c r="AG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F132" s="3"/>
      <c r="AG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F133" s="3"/>
      <c r="AG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F134" s="3"/>
      <c r="AG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F135" s="3"/>
      <c r="AG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F136" s="3"/>
      <c r="AG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F137" s="3"/>
      <c r="AG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F138" s="3"/>
      <c r="AG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F139" s="3"/>
      <c r="AG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F140" s="3"/>
      <c r="AG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F141" s="3"/>
      <c r="AG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F142" s="3"/>
      <c r="AG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F143" s="3"/>
      <c r="AG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F144" s="3"/>
      <c r="AG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F145" s="3"/>
      <c r="AG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F146" s="3"/>
      <c r="AG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F147" s="3"/>
      <c r="AG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F148" s="3"/>
      <c r="AG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F149" s="3"/>
      <c r="AG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F150" s="3"/>
      <c r="AG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F151" s="3"/>
      <c r="AG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F152" s="3"/>
      <c r="AG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F153" s="3"/>
      <c r="AG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F154" s="3"/>
      <c r="AG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F155" s="3"/>
      <c r="AG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F156" s="3"/>
      <c r="AG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F157" s="3"/>
      <c r="AG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F158" s="3"/>
      <c r="AG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F159" s="3"/>
      <c r="AG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F160" s="3"/>
      <c r="AG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F161" s="3"/>
      <c r="AG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F162" s="3"/>
      <c r="AG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F163" s="3"/>
      <c r="AG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F164" s="3"/>
      <c r="AG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F165" s="3"/>
      <c r="AG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F166" s="3"/>
      <c r="AG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F167" s="3"/>
      <c r="AG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F168" s="3"/>
      <c r="AG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F169" s="3"/>
      <c r="AG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F170" s="3"/>
      <c r="AG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F171" s="3"/>
      <c r="AG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F172" s="3"/>
      <c r="AG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F173" s="3"/>
      <c r="AG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F174" s="3"/>
      <c r="AG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F175" s="3"/>
      <c r="AG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F176" s="3"/>
      <c r="AG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F177" s="3"/>
      <c r="AG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F178" s="3"/>
      <c r="AG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F179" s="3"/>
      <c r="AG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F180" s="3"/>
      <c r="AG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F181" s="3"/>
      <c r="AG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F182" s="3"/>
      <c r="AG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F183" s="3"/>
      <c r="AG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F184" s="3"/>
      <c r="AG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F185" s="3"/>
      <c r="AG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F186" s="3"/>
      <c r="AG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F187" s="3"/>
      <c r="AG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F188" s="3"/>
      <c r="AG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F189" s="3"/>
      <c r="AG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F190" s="3"/>
      <c r="AG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F191" s="3"/>
      <c r="AG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F192" s="3"/>
      <c r="AG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F193" s="3"/>
      <c r="AG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F194" s="3"/>
      <c r="AG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F195" s="3"/>
      <c r="AG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F196" s="3"/>
      <c r="AG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F197" s="3"/>
      <c r="AG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F198" s="3"/>
      <c r="AG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F199" s="3"/>
      <c r="AG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F200" s="3"/>
      <c r="AG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F201" s="3"/>
      <c r="AG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F202" s="3"/>
      <c r="AG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F203" s="3"/>
      <c r="AG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F204" s="3"/>
      <c r="AG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F205" s="3"/>
      <c r="AG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F206" s="3"/>
      <c r="AG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F207" s="3"/>
      <c r="AG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F208" s="3"/>
      <c r="AG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F209" s="3"/>
      <c r="AG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F210" s="3"/>
      <c r="AG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F211" s="3"/>
      <c r="AG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F212" s="3"/>
      <c r="AG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F213" s="3"/>
      <c r="AG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F214" s="3"/>
      <c r="AG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F215" s="3"/>
      <c r="AG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F216" s="3"/>
      <c r="AG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F217" s="3"/>
      <c r="AG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F218" s="3"/>
      <c r="AG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F219" s="3"/>
      <c r="AG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F220" s="3"/>
      <c r="AG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F221" s="3"/>
      <c r="AG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F222" s="3"/>
      <c r="AG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F223" s="3"/>
      <c r="AG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F224" s="3"/>
      <c r="AG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F225" s="3"/>
      <c r="AG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F226" s="3"/>
      <c r="AG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F227" s="3"/>
      <c r="AG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F228" s="3"/>
      <c r="AG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F229" s="3"/>
      <c r="AG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F230" s="3"/>
      <c r="AG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F231" s="3"/>
      <c r="AG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F232" s="3"/>
      <c r="AG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F233" s="3"/>
      <c r="AG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F234" s="3"/>
      <c r="AG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F235" s="3"/>
      <c r="AG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F236" s="3"/>
      <c r="AG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F237" s="3"/>
      <c r="AG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F238" s="3"/>
      <c r="AG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F239" s="3"/>
      <c r="AG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F240" s="3"/>
      <c r="AG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F241" s="3"/>
      <c r="AG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F242" s="3"/>
      <c r="AG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F243" s="3"/>
      <c r="AG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F244" s="3"/>
      <c r="AG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F245" s="3"/>
      <c r="AG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F246" s="3"/>
      <c r="AG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F247" s="3"/>
      <c r="AG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F248" s="3"/>
      <c r="AG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F249" s="3"/>
      <c r="AG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F250" s="3"/>
      <c r="AG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F251" s="3"/>
      <c r="AG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F252" s="3"/>
      <c r="AG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F253" s="3"/>
      <c r="AG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F254" s="3"/>
      <c r="AG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F255" s="3"/>
      <c r="AG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F256" s="3"/>
      <c r="AG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F257" s="3"/>
      <c r="AG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F258" s="3"/>
      <c r="AG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F259" s="3"/>
      <c r="AG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F260" s="3"/>
      <c r="AG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F261" s="3"/>
      <c r="AG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F262" s="3"/>
      <c r="AG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F263" s="3"/>
      <c r="AG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F264" s="3"/>
      <c r="AG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F265" s="3"/>
      <c r="AG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F266" s="3"/>
      <c r="AG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F267" s="3"/>
      <c r="AG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F268" s="3"/>
      <c r="AG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F269" s="3"/>
      <c r="AG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F270" s="3"/>
      <c r="AG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F271" s="3"/>
      <c r="AG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F272" s="3"/>
      <c r="AG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F273" s="3"/>
      <c r="AG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F274" s="3"/>
      <c r="AG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F275" s="3"/>
      <c r="AG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F276" s="3"/>
      <c r="AG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F277" s="3"/>
      <c r="AG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F278" s="3"/>
      <c r="AG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F279" s="3"/>
      <c r="AG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F280" s="3"/>
      <c r="AG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F281" s="3"/>
      <c r="AG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F282" s="3"/>
      <c r="AG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F283" s="3"/>
      <c r="AG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F284" s="3"/>
      <c r="AG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F285" s="3"/>
      <c r="AG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F286" s="3"/>
      <c r="AG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F287" s="3"/>
      <c r="AG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F288" s="3"/>
      <c r="AG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F289" s="3"/>
      <c r="AG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F290" s="3"/>
      <c r="AG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F291" s="3"/>
      <c r="AG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F292" s="3"/>
      <c r="AG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F293" s="3"/>
      <c r="AG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F294" s="3"/>
      <c r="AG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F295" s="3"/>
      <c r="AG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F296" s="3"/>
      <c r="AG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F297" s="3"/>
      <c r="AG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F298" s="3"/>
      <c r="AG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F299" s="3"/>
      <c r="AG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F300" s="3"/>
      <c r="AG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F301" s="3"/>
      <c r="AG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F302" s="3"/>
      <c r="AG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F303" s="3"/>
      <c r="AG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F304" s="3"/>
      <c r="AG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F305" s="3"/>
      <c r="AG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F306" s="3"/>
      <c r="AG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F307" s="3"/>
      <c r="AG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F308" s="3"/>
      <c r="AG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F309" s="3"/>
      <c r="AG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F310" s="3"/>
      <c r="AG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F311" s="3"/>
      <c r="AG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F312" s="3"/>
      <c r="AG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F313" s="3"/>
      <c r="AG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F314" s="3"/>
      <c r="AG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F315" s="3"/>
      <c r="AG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F316" s="3"/>
      <c r="AG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F317" s="3"/>
      <c r="AG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F318" s="3"/>
      <c r="AG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F319" s="3"/>
      <c r="AG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F320" s="3"/>
      <c r="AG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F321" s="3"/>
      <c r="AG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F322" s="3"/>
      <c r="AG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F323" s="3"/>
      <c r="AG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F324" s="3"/>
      <c r="AG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F325" s="3"/>
      <c r="AG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F326" s="3"/>
      <c r="AG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F327" s="3"/>
      <c r="AG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F328" s="3"/>
      <c r="AG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F329" s="3"/>
      <c r="AG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F330" s="3"/>
      <c r="AG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F331" s="3"/>
      <c r="AG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F332" s="3"/>
      <c r="AG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F333" s="3"/>
      <c r="AG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F334" s="3"/>
      <c r="AG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F335" s="3"/>
      <c r="AG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F336" s="3"/>
      <c r="AG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F337" s="3"/>
      <c r="AG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F338" s="3"/>
      <c r="AG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F339" s="3"/>
      <c r="AG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F340" s="3"/>
      <c r="AG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F341" s="3"/>
      <c r="AG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F342" s="3"/>
      <c r="AG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F343" s="3"/>
      <c r="AG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F344" s="3"/>
      <c r="AG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F345" s="3"/>
      <c r="AG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F346" s="3"/>
      <c r="AG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F347" s="3"/>
      <c r="AG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F348" s="3"/>
      <c r="AG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F349" s="3"/>
      <c r="AG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F350" s="3"/>
      <c r="AG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F351" s="3"/>
      <c r="AG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F352" s="3"/>
      <c r="AG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F353" s="3"/>
      <c r="AG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F354" s="3"/>
      <c r="AG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F355" s="3"/>
      <c r="AG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F356" s="3"/>
      <c r="AG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F357" s="3"/>
      <c r="AG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F358" s="3"/>
      <c r="AG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F359" s="3"/>
      <c r="AG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F360" s="3"/>
      <c r="AG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F361" s="3"/>
      <c r="AG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F362" s="3"/>
      <c r="AG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F363" s="3"/>
      <c r="AG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F364" s="3"/>
      <c r="AG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F365" s="3"/>
      <c r="AG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F366" s="3"/>
      <c r="AG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F367" s="3"/>
      <c r="AG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F368" s="3"/>
      <c r="AG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F369" s="3"/>
      <c r="AG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F370" s="3"/>
      <c r="AG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F371" s="3"/>
      <c r="AG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F372" s="3"/>
      <c r="AG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F373" s="3"/>
      <c r="AG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F374" s="3"/>
      <c r="AG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F375" s="3"/>
      <c r="AG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F376" s="3"/>
      <c r="AG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F377" s="3"/>
      <c r="AG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F378" s="3"/>
      <c r="AG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F379" s="3"/>
      <c r="AG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F380" s="3"/>
      <c r="AG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F381" s="3"/>
      <c r="AG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F382" s="3"/>
      <c r="AG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F383" s="3"/>
      <c r="AG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F384" s="3"/>
      <c r="AG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F385" s="3"/>
      <c r="AG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F386" s="3"/>
      <c r="AG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F387" s="3"/>
      <c r="AG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F388" s="3"/>
      <c r="AG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F389" s="3"/>
      <c r="AG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F390" s="3"/>
      <c r="AG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F391" s="3"/>
      <c r="AG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F392" s="3"/>
      <c r="AG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F393" s="3"/>
      <c r="AG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F394" s="3"/>
      <c r="AG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F395" s="3"/>
      <c r="AG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F396" s="3"/>
      <c r="AG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F397" s="3"/>
      <c r="AG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F398" s="3"/>
      <c r="AG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F399" s="3"/>
      <c r="AG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F400" s="3"/>
      <c r="AG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F401" s="3"/>
      <c r="AG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F402" s="3"/>
      <c r="AG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F403" s="3"/>
      <c r="AG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F404" s="3"/>
      <c r="AG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F405" s="3"/>
      <c r="AG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F406" s="3"/>
      <c r="AG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F407" s="3"/>
      <c r="AG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F408" s="3"/>
      <c r="AG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F409" s="3"/>
      <c r="AG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F410" s="3"/>
      <c r="AG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F411" s="3"/>
      <c r="AG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F412" s="3"/>
      <c r="AG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F413" s="3"/>
      <c r="AG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F414" s="3"/>
      <c r="AG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F415" s="3"/>
      <c r="AG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F416" s="3"/>
      <c r="AG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F417" s="3"/>
      <c r="AG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F418" s="3"/>
      <c r="AG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F419" s="3"/>
      <c r="AG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F420" s="3"/>
      <c r="AG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F421" s="3"/>
      <c r="AG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F422" s="3"/>
      <c r="AG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F423" s="3"/>
      <c r="AG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F424" s="3"/>
      <c r="AG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F425" s="3"/>
      <c r="AG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F426" s="3"/>
      <c r="AG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F427" s="3"/>
      <c r="AG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F428" s="3"/>
      <c r="AG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F429" s="3"/>
      <c r="AG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F430" s="3"/>
      <c r="AG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F431" s="3"/>
      <c r="AG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F432" s="3"/>
      <c r="AG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F433" s="3"/>
      <c r="AG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F434" s="3"/>
      <c r="AG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F435" s="3"/>
      <c r="AG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F436" s="3"/>
      <c r="AG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F437" s="3"/>
      <c r="AG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F438" s="3"/>
      <c r="AG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F439" s="3"/>
      <c r="AG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F440" s="3"/>
      <c r="AG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F441" s="3"/>
      <c r="AG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F442" s="3"/>
      <c r="AG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F443" s="3"/>
      <c r="AG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F444" s="3"/>
      <c r="AG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F445" s="3"/>
      <c r="AG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F446" s="3"/>
      <c r="AG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F447" s="3"/>
      <c r="AG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F448" s="3"/>
      <c r="AG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F449" s="3"/>
      <c r="AG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F450" s="3"/>
      <c r="AG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F451" s="3"/>
      <c r="AG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F452" s="3"/>
      <c r="AG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F453" s="3"/>
      <c r="AG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F454" s="3"/>
      <c r="AG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F455" s="3"/>
      <c r="AG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F456" s="3"/>
      <c r="AG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F457" s="3"/>
      <c r="AG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F458" s="3"/>
      <c r="AG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F459" s="3"/>
      <c r="AG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F460" s="3"/>
      <c r="AG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F461" s="3"/>
      <c r="AG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F462" s="3"/>
      <c r="AG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F463" s="3"/>
      <c r="AG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F464" s="3"/>
      <c r="AG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F465" s="3"/>
      <c r="AG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F466" s="3"/>
      <c r="AG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F467" s="3"/>
      <c r="AG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F468" s="3"/>
      <c r="AG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F469" s="3"/>
      <c r="AG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F470" s="3"/>
      <c r="AG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F471" s="3"/>
      <c r="AG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F472" s="3"/>
      <c r="AG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F473" s="3"/>
      <c r="AG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F474" s="3"/>
      <c r="AG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F475" s="3"/>
      <c r="AG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F476" s="3"/>
      <c r="AG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F477" s="3"/>
      <c r="AG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F478" s="3"/>
      <c r="AG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F479" s="3"/>
      <c r="AG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F480" s="3"/>
      <c r="AG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F481" s="3"/>
      <c r="AG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F482" s="3"/>
      <c r="AG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F483" s="3"/>
      <c r="AG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F484" s="3"/>
      <c r="AG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F485" s="3"/>
      <c r="AG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F486" s="3"/>
      <c r="AG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F487" s="3"/>
      <c r="AG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F488" s="3"/>
      <c r="AG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F489" s="3"/>
      <c r="AG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F490" s="3"/>
      <c r="AG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F491" s="3"/>
      <c r="AG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F492" s="3"/>
      <c r="AG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F493" s="3"/>
      <c r="AG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F494" s="3"/>
      <c r="AG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F495" s="3"/>
      <c r="AG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F496" s="3"/>
      <c r="AG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F497" s="3"/>
      <c r="AG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F498" s="3"/>
      <c r="AG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F499" s="3"/>
      <c r="AG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F500" s="3"/>
      <c r="AG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F501" s="3"/>
      <c r="AG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F502" s="3"/>
      <c r="AG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F503" s="3"/>
      <c r="AG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F504" s="3"/>
      <c r="AG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F505" s="3"/>
      <c r="AG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F506" s="3"/>
      <c r="AG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F507" s="3"/>
      <c r="AG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F508" s="3"/>
      <c r="AG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F509" s="3"/>
      <c r="AG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F510" s="3"/>
      <c r="AG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F511" s="3"/>
      <c r="AG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F512" s="3"/>
      <c r="AG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F513" s="3"/>
      <c r="AG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F514" s="3"/>
      <c r="AG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F515" s="3"/>
      <c r="AG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F516" s="3"/>
      <c r="AG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F517" s="3"/>
      <c r="AG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F518" s="3"/>
      <c r="AG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F519" s="3"/>
      <c r="AG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F520" s="3"/>
      <c r="AG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F521" s="3"/>
      <c r="AG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F522" s="3"/>
      <c r="AG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F523" s="3"/>
      <c r="AG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F524" s="3"/>
      <c r="AG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F525" s="3"/>
      <c r="AG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F526" s="3"/>
      <c r="AG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F527" s="3"/>
      <c r="AG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F528" s="3"/>
      <c r="AG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F529" s="3"/>
      <c r="AG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F530" s="3"/>
      <c r="AG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F531" s="3"/>
      <c r="AG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F532" s="3"/>
      <c r="AG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F533" s="3"/>
      <c r="AG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F534" s="3"/>
      <c r="AG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F535" s="3"/>
      <c r="AG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F536" s="3"/>
      <c r="AG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F537" s="3"/>
      <c r="AG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F538" s="3"/>
      <c r="AG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F539" s="3"/>
      <c r="AG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F540" s="3"/>
      <c r="AG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F541" s="3"/>
      <c r="AG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F542" s="3"/>
      <c r="AG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F543" s="3"/>
      <c r="AG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F544" s="3"/>
      <c r="AG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F545" s="3"/>
      <c r="AG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F546" s="3"/>
      <c r="AG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F547" s="3"/>
      <c r="AG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F548" s="3"/>
      <c r="AG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F549" s="3"/>
      <c r="AG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F550" s="3"/>
      <c r="AG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F551" s="3"/>
      <c r="AG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F552" s="3"/>
      <c r="AG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F553" s="3"/>
      <c r="AG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F554" s="3"/>
      <c r="AG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F555" s="3"/>
      <c r="AG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F556" s="3"/>
      <c r="AG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F557" s="3"/>
      <c r="AG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F558" s="3"/>
      <c r="AG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F559" s="3"/>
      <c r="AG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F560" s="3"/>
      <c r="AG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F561" s="3"/>
      <c r="AG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F562" s="3"/>
      <c r="AG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F563" s="3"/>
      <c r="AG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F564" s="3"/>
      <c r="AG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F565" s="3"/>
      <c r="AG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F566" s="3"/>
      <c r="AG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F567" s="3"/>
      <c r="AG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F568" s="3"/>
      <c r="AG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F569" s="3"/>
      <c r="AG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F570" s="3"/>
      <c r="AG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F571" s="3"/>
      <c r="AG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F572" s="3"/>
      <c r="AG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F573" s="3"/>
      <c r="AG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F574" s="3"/>
      <c r="AG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F575" s="3"/>
      <c r="AG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F576" s="3"/>
      <c r="AG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F577" s="3"/>
      <c r="AG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F578" s="3"/>
      <c r="AG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F579" s="3"/>
      <c r="AG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F580" s="3"/>
      <c r="AG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F581" s="3"/>
      <c r="AG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F582" s="3"/>
      <c r="AG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F583" s="3"/>
      <c r="AG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F584" s="3"/>
      <c r="AG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F585" s="3"/>
      <c r="AG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F586" s="3"/>
      <c r="AG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F587" s="3"/>
      <c r="AG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F588" s="3"/>
      <c r="AG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F589" s="3"/>
      <c r="AG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F590" s="3"/>
      <c r="AG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F591" s="3"/>
      <c r="AG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F592" s="3"/>
      <c r="AG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F593" s="3"/>
      <c r="AG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F594" s="3"/>
      <c r="AG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F595" s="3"/>
      <c r="AG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F596" s="3"/>
      <c r="AG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F597" s="3"/>
      <c r="AG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F598" s="3"/>
      <c r="AG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F599" s="3"/>
      <c r="AG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F600" s="3"/>
      <c r="AG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F601" s="3"/>
      <c r="AG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F602" s="3"/>
      <c r="AG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F603" s="3"/>
      <c r="AG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F604" s="3"/>
      <c r="AG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F605" s="3"/>
      <c r="AG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F606" s="3"/>
      <c r="AG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F607" s="3"/>
      <c r="AG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F608" s="3"/>
      <c r="AG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F609" s="3"/>
      <c r="AG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F610" s="3"/>
      <c r="AG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F611" s="3"/>
      <c r="AG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F612" s="3"/>
      <c r="AG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F613" s="3"/>
      <c r="AG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F614" s="3"/>
      <c r="AG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F615" s="3"/>
      <c r="AG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F616" s="3"/>
      <c r="AG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F617" s="3"/>
      <c r="AG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F618" s="3"/>
      <c r="AG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F619" s="3"/>
      <c r="AG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F620" s="3"/>
      <c r="AG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F621" s="3"/>
      <c r="AG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F622" s="3"/>
      <c r="AG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F623" s="3"/>
      <c r="AG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F624" s="3"/>
      <c r="AG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F625" s="3"/>
      <c r="AG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F626" s="3"/>
      <c r="AG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F627" s="3"/>
      <c r="AG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F628" s="3"/>
      <c r="AG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F629" s="3"/>
      <c r="AG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F630" s="3"/>
      <c r="AG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F631" s="3"/>
      <c r="AG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F632" s="3"/>
      <c r="AG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F633" s="3"/>
      <c r="AG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F634" s="3"/>
      <c r="AG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F635" s="3"/>
      <c r="AG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F636" s="3"/>
      <c r="AG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F637" s="3"/>
      <c r="AG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F638" s="3"/>
      <c r="AG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F639" s="3"/>
      <c r="AG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F640" s="3"/>
      <c r="AG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F641" s="3"/>
      <c r="AG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F642" s="3"/>
      <c r="AG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F643" s="3"/>
      <c r="AG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F644" s="3"/>
      <c r="AG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F645" s="3"/>
      <c r="AG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F646" s="3"/>
      <c r="AG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F647" s="3"/>
      <c r="AG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F648" s="3"/>
      <c r="AG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F649" s="3"/>
      <c r="AG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F650" s="3"/>
      <c r="AG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F651" s="3"/>
      <c r="AG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F652" s="3"/>
      <c r="AG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F653" s="3"/>
      <c r="AG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F654" s="3"/>
      <c r="AG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F655" s="3"/>
      <c r="AG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F656" s="3"/>
      <c r="AG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F657" s="3"/>
      <c r="AG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F658" s="3"/>
      <c r="AG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F659" s="3"/>
      <c r="AG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F660" s="3"/>
      <c r="AG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F661" s="3"/>
      <c r="AG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F662" s="3"/>
      <c r="AG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F663" s="3"/>
      <c r="AG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F664" s="3"/>
      <c r="AG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F665" s="3"/>
      <c r="AG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F666" s="3"/>
      <c r="AG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F667" s="3"/>
      <c r="AG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F668" s="3"/>
      <c r="AG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F669" s="3"/>
      <c r="AG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F670" s="3"/>
      <c r="AG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F671" s="3"/>
      <c r="AG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F672" s="3"/>
      <c r="AG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F673" s="3"/>
      <c r="AG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F674" s="3"/>
      <c r="AG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F675" s="3"/>
      <c r="AG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F676" s="3"/>
      <c r="AG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F677" s="3"/>
      <c r="AG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F678" s="3"/>
      <c r="AG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F679" s="3"/>
      <c r="AG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F680" s="3"/>
      <c r="AG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F681" s="3"/>
      <c r="AG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F682" s="3"/>
      <c r="AG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F683" s="3"/>
      <c r="AG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F684" s="3"/>
      <c r="AG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F685" s="3"/>
      <c r="AG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F686" s="3"/>
      <c r="AG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F687" s="3"/>
      <c r="AG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F688" s="3"/>
      <c r="AG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F689" s="3"/>
      <c r="AG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F690" s="3"/>
      <c r="AG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F691" s="3"/>
      <c r="AG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F692" s="3"/>
      <c r="AG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F693" s="3"/>
      <c r="AG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F694" s="3"/>
      <c r="AG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F695" s="3"/>
      <c r="AG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F696" s="3"/>
      <c r="AG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F697" s="3"/>
      <c r="AG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F698" s="3"/>
      <c r="AG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F699" s="3"/>
      <c r="AG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F700" s="3"/>
      <c r="AG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F701" s="3"/>
      <c r="AG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F702" s="3"/>
      <c r="AG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F703" s="3"/>
      <c r="AG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F704" s="3"/>
      <c r="AG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F705" s="3"/>
      <c r="AG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F706" s="3"/>
      <c r="AG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F707" s="3"/>
      <c r="AG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F708" s="3"/>
      <c r="AG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F709" s="3"/>
      <c r="AG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F710" s="3"/>
      <c r="AG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F711" s="3"/>
      <c r="AG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F712" s="3"/>
      <c r="AG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F713" s="3"/>
      <c r="AG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F714" s="3"/>
      <c r="AG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F715" s="3"/>
      <c r="AG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F716" s="3"/>
      <c r="AG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F717" s="3"/>
      <c r="AG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F718" s="3"/>
      <c r="AG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F719" s="3"/>
      <c r="AG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F720" s="3"/>
      <c r="AG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F721" s="3"/>
      <c r="AG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F722" s="3"/>
      <c r="AG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F723" s="3"/>
      <c r="AG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F724" s="3"/>
      <c r="AG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F725" s="3"/>
      <c r="AG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F726" s="3"/>
      <c r="AG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F727" s="3"/>
      <c r="AG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F728" s="3"/>
      <c r="AG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F729" s="3"/>
      <c r="AG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F730" s="3"/>
      <c r="AG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F731" s="3"/>
      <c r="AG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F732" s="3"/>
      <c r="AG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F733" s="3"/>
      <c r="AG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F734" s="3"/>
      <c r="AG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F735" s="3"/>
      <c r="AG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F736" s="3"/>
      <c r="AG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F737" s="3"/>
      <c r="AG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F738" s="3"/>
      <c r="AG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F739" s="3"/>
      <c r="AG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F740" s="3"/>
      <c r="AG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F741" s="3"/>
      <c r="AG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F742" s="3"/>
      <c r="AG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F743" s="3"/>
      <c r="AG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F744" s="3"/>
      <c r="AG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F745" s="3"/>
      <c r="AG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F746" s="3"/>
      <c r="AG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F747" s="3"/>
      <c r="AG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F748" s="3"/>
      <c r="AG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F749" s="3"/>
      <c r="AG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F750" s="3"/>
      <c r="AG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F751" s="3"/>
      <c r="AG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F752" s="3"/>
      <c r="AG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F753" s="3"/>
      <c r="AG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F754" s="3"/>
      <c r="AG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F755" s="3"/>
      <c r="AG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F756" s="3"/>
      <c r="AG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F757" s="3"/>
      <c r="AG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F758" s="3"/>
      <c r="AG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F759" s="3"/>
      <c r="AG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F760" s="3"/>
      <c r="AG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F761" s="3"/>
      <c r="AG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F762" s="3"/>
      <c r="AG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F763" s="3"/>
      <c r="AG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F764" s="3"/>
      <c r="AG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F765" s="3"/>
      <c r="AG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F766" s="3"/>
      <c r="AG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F767" s="3"/>
      <c r="AG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F768" s="3"/>
      <c r="AG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F769" s="3"/>
      <c r="AG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F770" s="3"/>
      <c r="AG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F771" s="3"/>
      <c r="AG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F772" s="3"/>
      <c r="AG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F773" s="3"/>
      <c r="AG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F774" s="3"/>
      <c r="AG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F775" s="3"/>
      <c r="AG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F776" s="3"/>
      <c r="AG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F777" s="3"/>
      <c r="AG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F778" s="3"/>
      <c r="AG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F779" s="3"/>
      <c r="AG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F780" s="3"/>
      <c r="AG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F781" s="3"/>
      <c r="AG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F782" s="3"/>
      <c r="AG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F783" s="3"/>
      <c r="AG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F784" s="3"/>
      <c r="AG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F785" s="3"/>
      <c r="AG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F786" s="3"/>
      <c r="AG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F787" s="3"/>
      <c r="AG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F788" s="3"/>
      <c r="AG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F789" s="3"/>
      <c r="AG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F790" s="3"/>
      <c r="AG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F791" s="3"/>
      <c r="AG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F792" s="3"/>
      <c r="AG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F793" s="3"/>
      <c r="AG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F794" s="3"/>
      <c r="AG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F795" s="3"/>
      <c r="AG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F796" s="3"/>
      <c r="AG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F797" s="3"/>
      <c r="AG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F798" s="3"/>
      <c r="AG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F799" s="3"/>
      <c r="AG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F800" s="3"/>
      <c r="AG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F801" s="3"/>
      <c r="AG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F802" s="3"/>
      <c r="AG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F803" s="3"/>
      <c r="AG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F804" s="3"/>
      <c r="AG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F805" s="3"/>
      <c r="AG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F806" s="3"/>
      <c r="AG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F807" s="3"/>
      <c r="AG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F808" s="3"/>
      <c r="AG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F809" s="3"/>
      <c r="AG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F810" s="3"/>
      <c r="AG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F811" s="3"/>
      <c r="AG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F812" s="3"/>
      <c r="AG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F813" s="3"/>
      <c r="AG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F814" s="3"/>
      <c r="AG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F815" s="3"/>
      <c r="AG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F816" s="3"/>
      <c r="AG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F817" s="3"/>
      <c r="AG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F818" s="3"/>
      <c r="AG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F819" s="3"/>
      <c r="AG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F820" s="3"/>
      <c r="AG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F821" s="3"/>
      <c r="AG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F822" s="3"/>
      <c r="AG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F823" s="3"/>
      <c r="AG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F824" s="3"/>
      <c r="AG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F825" s="3"/>
      <c r="AG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F826" s="3"/>
      <c r="AG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F827" s="3"/>
      <c r="AG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F828" s="3"/>
      <c r="AG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F829" s="3"/>
      <c r="AG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F830" s="3"/>
      <c r="AG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F831" s="3"/>
      <c r="AG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F832" s="3"/>
      <c r="AG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F833" s="3"/>
      <c r="AG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F834" s="3"/>
      <c r="AG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F835" s="3"/>
      <c r="AG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F836" s="3"/>
      <c r="AG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F837" s="3"/>
      <c r="AG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F838" s="3"/>
      <c r="AG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F839" s="3"/>
      <c r="AG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F840" s="3"/>
      <c r="AG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F841" s="3"/>
      <c r="AG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F842" s="3"/>
      <c r="AG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F843" s="3"/>
      <c r="AG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F844" s="3"/>
      <c r="AG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F845" s="3"/>
      <c r="AG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F846" s="3"/>
      <c r="AG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F847" s="3"/>
      <c r="AG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F848" s="3"/>
      <c r="AG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F849" s="3"/>
      <c r="AG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F850" s="3"/>
      <c r="AG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F851" s="3"/>
      <c r="AG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F852" s="3"/>
      <c r="AG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F853" s="3"/>
      <c r="AG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F854" s="3"/>
      <c r="AG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F855" s="3"/>
      <c r="AG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F856" s="3"/>
      <c r="AG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F857" s="3"/>
      <c r="AG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F858" s="3"/>
      <c r="AG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F859" s="3"/>
      <c r="AG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F860" s="3"/>
      <c r="AG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F861" s="3"/>
      <c r="AG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F862" s="3"/>
      <c r="AG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F863" s="3"/>
      <c r="AG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F864" s="3"/>
      <c r="AG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F865" s="3"/>
      <c r="AG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F866" s="3"/>
      <c r="AG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F867" s="3"/>
      <c r="AG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F868" s="3"/>
      <c r="AG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F869" s="3"/>
      <c r="AG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F870" s="3"/>
      <c r="AG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F871" s="3"/>
      <c r="AG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F872" s="3"/>
      <c r="AG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F873" s="3"/>
      <c r="AG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F874" s="3"/>
      <c r="AG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F875" s="3"/>
      <c r="AG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F876" s="3"/>
      <c r="AG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F877" s="3"/>
      <c r="AG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F878" s="3"/>
      <c r="AG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F879" s="3"/>
      <c r="AG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F880" s="3"/>
      <c r="AG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F881" s="3"/>
      <c r="AG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F882" s="3"/>
      <c r="AG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F883" s="3"/>
      <c r="AG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F884" s="3"/>
      <c r="AG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F885" s="3"/>
      <c r="AG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F886" s="3"/>
      <c r="AG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F887" s="3"/>
      <c r="AG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F888" s="3"/>
      <c r="AG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F889" s="3"/>
      <c r="AG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F890" s="3"/>
      <c r="AG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F891" s="3"/>
      <c r="AG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F892" s="3"/>
      <c r="AG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F893" s="3"/>
      <c r="AG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F894" s="3"/>
      <c r="AG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F895" s="3"/>
      <c r="AG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F896" s="3"/>
      <c r="AG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F897" s="3"/>
      <c r="AG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F898" s="3"/>
      <c r="AG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F899" s="3"/>
      <c r="AG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F900" s="3"/>
      <c r="AG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F901" s="3"/>
      <c r="AG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F902" s="3"/>
      <c r="AG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F903" s="3"/>
      <c r="AG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F904" s="3"/>
      <c r="AG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F905" s="3"/>
      <c r="AG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F906" s="3"/>
      <c r="AG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F907" s="3"/>
      <c r="AG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F908" s="3"/>
      <c r="AG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F909" s="3"/>
      <c r="AG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F910" s="3"/>
      <c r="AG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F911" s="3"/>
      <c r="AG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F912" s="3"/>
      <c r="AG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F913" s="3"/>
      <c r="AG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F914" s="3"/>
      <c r="AG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F915" s="3"/>
      <c r="AG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F916" s="3"/>
      <c r="AG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F917" s="3"/>
      <c r="AG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F918" s="3"/>
      <c r="AG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F919" s="3"/>
      <c r="AG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F920" s="3"/>
      <c r="AG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F921" s="3"/>
      <c r="AG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F922" s="3"/>
      <c r="AG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F923" s="3"/>
      <c r="AG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F924" s="3"/>
      <c r="AG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F925" s="3"/>
      <c r="AG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F926" s="3"/>
      <c r="AG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F927" s="3"/>
      <c r="AG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F928" s="3"/>
      <c r="AG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F929" s="3"/>
      <c r="AG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F930" s="3"/>
      <c r="AG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F931" s="3"/>
      <c r="AG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F932" s="3"/>
      <c r="AG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F933" s="3"/>
      <c r="AG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F934" s="3"/>
      <c r="AG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F935" s="3"/>
      <c r="AG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F936" s="3"/>
      <c r="AG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F937" s="3"/>
      <c r="AG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F938" s="3"/>
      <c r="AG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F939" s="3"/>
      <c r="AG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F940" s="3"/>
      <c r="AG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F941" s="3"/>
      <c r="AG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F942" s="3"/>
      <c r="AG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F943" s="3"/>
      <c r="AG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F944" s="3"/>
      <c r="AG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F945" s="3"/>
      <c r="AG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F946" s="3"/>
      <c r="AG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F947" s="3"/>
      <c r="AG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F948" s="3"/>
      <c r="AG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F949" s="3"/>
      <c r="AG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F950" s="3"/>
      <c r="AG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F951" s="3"/>
      <c r="AG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F952" s="3"/>
      <c r="AG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F953" s="3"/>
      <c r="AG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F954" s="3"/>
      <c r="AG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F955" s="3"/>
      <c r="AG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F956" s="3"/>
      <c r="AG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F957" s="3"/>
      <c r="AG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F958" s="3"/>
      <c r="AG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F959" s="3"/>
      <c r="AG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F960" s="3"/>
      <c r="AG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F961" s="3"/>
      <c r="AG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F962" s="3"/>
      <c r="AG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F963" s="3"/>
      <c r="AG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F964" s="3"/>
      <c r="AG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F965" s="3"/>
      <c r="AG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F966" s="3"/>
      <c r="AG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F967" s="3"/>
      <c r="AG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F968" s="3"/>
      <c r="AG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F969" s="3"/>
      <c r="AG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F970" s="3"/>
      <c r="AG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F971" s="3"/>
      <c r="AG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F972" s="3"/>
      <c r="AG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F973" s="3"/>
      <c r="AG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F974" s="3"/>
      <c r="AG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F975" s="3"/>
      <c r="AG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F976" s="3"/>
      <c r="AG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F977" s="3"/>
      <c r="AG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F978" s="3"/>
      <c r="AG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F979" s="3"/>
      <c r="AG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F980" s="3"/>
      <c r="AG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F981" s="3"/>
      <c r="AG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F982" s="3"/>
      <c r="AG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F983" s="3"/>
      <c r="AG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F984" s="3"/>
      <c r="AG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F985" s="3"/>
      <c r="AG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F986" s="3"/>
      <c r="AG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F987" s="3"/>
      <c r="AG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F988" s="3"/>
      <c r="AG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F989" s="3"/>
      <c r="AG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F990" s="3"/>
      <c r="AG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F991" s="3"/>
      <c r="AG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F992" s="3"/>
      <c r="AG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F993" s="3"/>
      <c r="AG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F994" s="3"/>
      <c r="AG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F995" s="3"/>
      <c r="AG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F996" s="3"/>
      <c r="AG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F997" s="3"/>
      <c r="AG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F998" s="3"/>
      <c r="AG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F999" s="3"/>
      <c r="AG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F1000" s="3"/>
      <c r="AG1000" s="3"/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S8:T8"/>
    <mergeCell ref="U8:V8"/>
    <mergeCell ref="A10:V10"/>
    <mergeCell ref="A23:V23"/>
    <mergeCell ref="A36:V36"/>
    <mergeCell ref="A49:V49"/>
    <mergeCell ref="G8:G9"/>
    <mergeCell ref="H8:H9"/>
    <mergeCell ref="I8:J8"/>
    <mergeCell ref="K8:L8"/>
    <mergeCell ref="M8:N8"/>
    <mergeCell ref="O8:P8"/>
    <mergeCell ref="Q8:R8"/>
  </mergeCells>
  <conditionalFormatting sqref="A11:V11">
    <cfRule type="expression" dxfId="10" priority="1">
      <formula>$W11&gt;=9</formula>
    </cfRule>
  </conditionalFormatting>
  <conditionalFormatting sqref="A12:V12">
    <cfRule type="expression" dxfId="10" priority="2">
      <formula>$W12&gt;=9</formula>
    </cfRule>
  </conditionalFormatting>
  <conditionalFormatting sqref="A13:V13">
    <cfRule type="expression" dxfId="10" priority="3">
      <formula>$W13&gt;=9</formula>
    </cfRule>
  </conditionalFormatting>
  <conditionalFormatting sqref="A14:V14">
    <cfRule type="expression" dxfId="10" priority="4">
      <formula>$W14&gt;=9</formula>
    </cfRule>
  </conditionalFormatting>
  <conditionalFormatting sqref="A15:V15">
    <cfRule type="expression" dxfId="10" priority="5">
      <formula>$W15&gt;=9</formula>
    </cfRule>
  </conditionalFormatting>
  <conditionalFormatting sqref="A16:V16">
    <cfRule type="expression" dxfId="10" priority="6">
      <formula>$W16&gt;=9</formula>
    </cfRule>
  </conditionalFormatting>
  <conditionalFormatting sqref="A17:V17">
    <cfRule type="expression" dxfId="10" priority="7">
      <formula>$W17&gt;=9</formula>
    </cfRule>
  </conditionalFormatting>
  <conditionalFormatting sqref="A18:V18">
    <cfRule type="expression" dxfId="10" priority="8">
      <formula>$W18&gt;=9</formula>
    </cfRule>
  </conditionalFormatting>
  <conditionalFormatting sqref="A19:V19">
    <cfRule type="expression" dxfId="10" priority="9">
      <formula>$W19&gt;=9</formula>
    </cfRule>
  </conditionalFormatting>
  <conditionalFormatting sqref="A20:V20">
    <cfRule type="expression" dxfId="10" priority="10">
      <formula>$W20&gt;=9</formula>
    </cfRule>
  </conditionalFormatting>
  <conditionalFormatting sqref="A21:V21">
    <cfRule type="expression" dxfId="10" priority="11">
      <formula>$W21&gt;=9</formula>
    </cfRule>
  </conditionalFormatting>
  <conditionalFormatting sqref="A22:V22">
    <cfRule type="expression" dxfId="10" priority="12">
      <formula>$W22&gt;=9</formula>
    </cfRule>
  </conditionalFormatting>
  <conditionalFormatting sqref="A24:V24">
    <cfRule type="expression" dxfId="10" priority="13">
      <formula>$W24&gt;=9</formula>
    </cfRule>
  </conditionalFormatting>
  <conditionalFormatting sqref="A25:V25">
    <cfRule type="expression" dxfId="10" priority="14">
      <formula>$W25&gt;=9</formula>
    </cfRule>
  </conditionalFormatting>
  <conditionalFormatting sqref="A26:V26">
    <cfRule type="expression" dxfId="10" priority="15">
      <formula>$W26&gt;=9</formula>
    </cfRule>
  </conditionalFormatting>
  <conditionalFormatting sqref="A27:V27">
    <cfRule type="expression" dxfId="10" priority="16">
      <formula>$W27&gt;=9</formula>
    </cfRule>
  </conditionalFormatting>
  <conditionalFormatting sqref="A28:V28">
    <cfRule type="expression" dxfId="10" priority="17">
      <formula>$W28&gt;=9</formula>
    </cfRule>
  </conditionalFormatting>
  <conditionalFormatting sqref="A29:V29">
    <cfRule type="expression" dxfId="10" priority="18">
      <formula>$W29&gt;=9</formula>
    </cfRule>
  </conditionalFormatting>
  <conditionalFormatting sqref="A30:V30">
    <cfRule type="expression" dxfId="10" priority="19">
      <formula>$W30&gt;=9</formula>
    </cfRule>
  </conditionalFormatting>
  <conditionalFormatting sqref="A31:V31">
    <cfRule type="expression" dxfId="10" priority="20">
      <formula>$W31&gt;=9</formula>
    </cfRule>
  </conditionalFormatting>
  <conditionalFormatting sqref="A32:V32">
    <cfRule type="expression" dxfId="10" priority="21">
      <formula>$W32&gt;=9</formula>
    </cfRule>
  </conditionalFormatting>
  <conditionalFormatting sqref="A33:V33">
    <cfRule type="expression" dxfId="10" priority="22">
      <formula>$W33&gt;=9</formula>
    </cfRule>
  </conditionalFormatting>
  <conditionalFormatting sqref="A34:V34">
    <cfRule type="expression" dxfId="10" priority="23">
      <formula>$W34&gt;=9</formula>
    </cfRule>
  </conditionalFormatting>
  <conditionalFormatting sqref="A35:V35">
    <cfRule type="expression" dxfId="10" priority="24">
      <formula>$W35&gt;=9</formula>
    </cfRule>
  </conditionalFormatting>
  <conditionalFormatting sqref="A37:V37">
    <cfRule type="expression" dxfId="10" priority="25">
      <formula>$W37&gt;=9</formula>
    </cfRule>
  </conditionalFormatting>
  <conditionalFormatting sqref="A38:V38">
    <cfRule type="expression" dxfId="10" priority="26">
      <formula>$W38&gt;=9</formula>
    </cfRule>
  </conditionalFormatting>
  <conditionalFormatting sqref="A39:V39">
    <cfRule type="expression" dxfId="10" priority="27">
      <formula>$W39&gt;=9</formula>
    </cfRule>
  </conditionalFormatting>
  <conditionalFormatting sqref="A40:V40">
    <cfRule type="expression" dxfId="10" priority="28">
      <formula>$W40&gt;=9</formula>
    </cfRule>
  </conditionalFormatting>
  <conditionalFormatting sqref="A41:V41">
    <cfRule type="expression" dxfId="10" priority="29">
      <formula>$W41&gt;=9</formula>
    </cfRule>
  </conditionalFormatting>
  <conditionalFormatting sqref="A42:V42">
    <cfRule type="expression" dxfId="10" priority="30">
      <formula>$W42&gt;=9</formula>
    </cfRule>
  </conditionalFormatting>
  <conditionalFormatting sqref="A43:V43">
    <cfRule type="expression" dxfId="10" priority="31">
      <formula>$W43&gt;=9</formula>
    </cfRule>
  </conditionalFormatting>
  <conditionalFormatting sqref="A44:V44">
    <cfRule type="expression" dxfId="10" priority="32">
      <formula>$W44&gt;=9</formula>
    </cfRule>
  </conditionalFormatting>
  <conditionalFormatting sqref="A45:V45">
    <cfRule type="expression" dxfId="10" priority="33">
      <formula>$W45&gt;=9</formula>
    </cfRule>
  </conditionalFormatting>
  <conditionalFormatting sqref="A46:V46">
    <cfRule type="expression" dxfId="10" priority="34">
      <formula>$W46&gt;=9</formula>
    </cfRule>
  </conditionalFormatting>
  <conditionalFormatting sqref="A47:V47">
    <cfRule type="expression" dxfId="10" priority="35">
      <formula>$W47&gt;=9</formula>
    </cfRule>
  </conditionalFormatting>
  <conditionalFormatting sqref="A48:V48">
    <cfRule type="expression" dxfId="10" priority="36">
      <formula>$W48&gt;=9</formula>
    </cfRule>
  </conditionalFormatting>
  <conditionalFormatting sqref="A50:V50">
    <cfRule type="expression" dxfId="10" priority="37">
      <formula>$W50&gt;=9</formula>
    </cfRule>
  </conditionalFormatting>
  <conditionalFormatting sqref="A51:V51">
    <cfRule type="expression" dxfId="10" priority="38">
      <formula>$W51&gt;=9</formula>
    </cfRule>
  </conditionalFormatting>
  <conditionalFormatting sqref="A52:V52">
    <cfRule type="expression" dxfId="10" priority="39">
      <formula>$W52&gt;=9</formula>
    </cfRule>
  </conditionalFormatting>
  <conditionalFormatting sqref="A53:V53">
    <cfRule type="expression" dxfId="10" priority="40">
      <formula>$W53&gt;=9</formula>
    </cfRule>
  </conditionalFormatting>
  <conditionalFormatting sqref="A54:V54">
    <cfRule type="expression" dxfId="10" priority="41">
      <formula>$W54&gt;=9</formula>
    </cfRule>
  </conditionalFormatting>
  <conditionalFormatting sqref="A55:V55">
    <cfRule type="expression" dxfId="10" priority="42">
      <formula>$W55&gt;=9</formula>
    </cfRule>
  </conditionalFormatting>
  <conditionalFormatting sqref="A56:V56">
    <cfRule type="expression" dxfId="10" priority="43">
      <formula>$W56&gt;=9</formula>
    </cfRule>
  </conditionalFormatting>
  <conditionalFormatting sqref="A57:V57">
    <cfRule type="expression" dxfId="10" priority="44">
      <formula>$W57&gt;=9</formula>
    </cfRule>
  </conditionalFormatting>
  <conditionalFormatting sqref="A58:V58">
    <cfRule type="expression" dxfId="10" priority="45">
      <formula>$W58&gt;=9</formula>
    </cfRule>
  </conditionalFormatting>
  <conditionalFormatting sqref="A59:V59">
    <cfRule type="expression" dxfId="10" priority="46">
      <formula>$W59&gt;=9</formula>
    </cfRule>
  </conditionalFormatting>
  <conditionalFormatting sqref="A60:V60">
    <cfRule type="expression" dxfId="10" priority="47">
      <formula>$W60&gt;=9</formula>
    </cfRule>
  </conditionalFormatting>
  <conditionalFormatting sqref="A61:V61">
    <cfRule type="expression" dxfId="10" priority="48">
      <formula>$W61&gt;=9</formula>
    </cfRule>
  </conditionalFormatting>
  <conditionalFormatting sqref="H10:H61">
    <cfRule type="cellIs" dxfId="6" priority="49" operator="equal">
      <formula>"Physical"</formula>
    </cfRule>
  </conditionalFormatting>
  <conditionalFormatting sqref="H10:H61">
    <cfRule type="cellIs" dxfId="7" priority="50" operator="equal">
      <formula>"Psychological"</formula>
    </cfRule>
  </conditionalFormatting>
  <conditionalFormatting sqref="G10:G61">
    <cfRule type="cellIs" dxfId="8" priority="51" operator="equal">
      <formula>"Y"</formula>
    </cfRule>
  </conditionalFormatting>
  <conditionalFormatting sqref="G10:G61">
    <cfRule type="cellIs" dxfId="9" priority="52" operator="equal">
      <formula>"N"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Col="1"/>
  <cols>
    <col customWidth="1" min="1" max="1" width="24.0"/>
    <col customWidth="1" min="2" max="2" width="18.0"/>
    <col customWidth="1" min="3" max="4" width="13.0"/>
    <col customWidth="1" min="5" max="5" width="9.0"/>
    <col customWidth="1" min="6" max="6" width="13.0"/>
    <col customWidth="1" min="7" max="7" width="15.0"/>
    <col customWidth="1" min="8" max="17" width="13.0"/>
    <col customWidth="1" min="18" max="18" width="30.0"/>
    <col customWidth="1" min="19" max="19" width="10.0"/>
    <col customWidth="1" min="20" max="20" width="13.0"/>
    <col customWidth="1" min="21" max="25" width="12.0"/>
    <col customWidth="1" min="26" max="26" width="8.71"/>
  </cols>
  <sheetData>
    <row r="1" ht="19.5" customHeight="1">
      <c r="A1" s="149" t="s">
        <v>219</v>
      </c>
      <c r="U1" s="3"/>
      <c r="V1" s="3"/>
      <c r="W1" s="3"/>
      <c r="X1" s="3"/>
      <c r="Y1" s="3"/>
    </row>
    <row r="2" ht="15.0" customHeight="1">
      <c r="A2" s="5" t="s">
        <v>220</v>
      </c>
      <c r="U2" s="3"/>
      <c r="V2" s="3"/>
      <c r="W2" s="3"/>
      <c r="X2" s="3"/>
      <c r="Y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6.25" customHeight="1">
      <c r="A4" s="10" t="s">
        <v>5</v>
      </c>
      <c r="B4" s="10" t="s">
        <v>16</v>
      </c>
      <c r="C4" s="10" t="s">
        <v>18</v>
      </c>
      <c r="D4" s="10" t="s">
        <v>20</v>
      </c>
      <c r="E4" s="10" t="s">
        <v>23</v>
      </c>
      <c r="F4" s="10" t="s">
        <v>10</v>
      </c>
      <c r="G4" s="10" t="s">
        <v>9</v>
      </c>
      <c r="H4" s="10" t="s">
        <v>25</v>
      </c>
      <c r="I4" s="10" t="s">
        <v>26</v>
      </c>
      <c r="J4" s="10" t="s">
        <v>27</v>
      </c>
      <c r="K4" s="10" t="s">
        <v>28</v>
      </c>
      <c r="L4" s="10" t="s">
        <v>29</v>
      </c>
      <c r="M4" s="10" t="s">
        <v>30</v>
      </c>
      <c r="N4" s="10" t="s">
        <v>31</v>
      </c>
      <c r="O4" s="10" t="s">
        <v>32</v>
      </c>
      <c r="P4" s="10" t="s">
        <v>33</v>
      </c>
      <c r="Q4" s="10" t="s">
        <v>34</v>
      </c>
      <c r="R4" s="10" t="s">
        <v>15</v>
      </c>
      <c r="S4" s="10" t="s">
        <v>8</v>
      </c>
      <c r="T4" s="10" t="s">
        <v>36</v>
      </c>
      <c r="U4" s="10" t="s">
        <v>80</v>
      </c>
      <c r="V4" s="10" t="s">
        <v>81</v>
      </c>
      <c r="W4" s="10" t="s">
        <v>83</v>
      </c>
      <c r="X4" s="10" t="s">
        <v>90</v>
      </c>
      <c r="Y4" s="10" t="s">
        <v>92</v>
      </c>
    </row>
    <row r="5" ht="15.0" customHeight="1">
      <c r="A5" s="3">
        <v>2001.0</v>
      </c>
      <c r="B5" s="3" t="s">
        <v>221</v>
      </c>
      <c r="C5" s="150">
        <v>46207.0</v>
      </c>
      <c r="D5" s="3">
        <v>13.0</v>
      </c>
      <c r="E5" s="3" t="s">
        <v>61</v>
      </c>
      <c r="F5" s="3" t="s">
        <v>222</v>
      </c>
      <c r="G5" s="3" t="s">
        <v>62</v>
      </c>
      <c r="H5" s="3" t="s">
        <v>48</v>
      </c>
      <c r="I5" s="3" t="s">
        <v>52</v>
      </c>
      <c r="J5" s="3" t="s">
        <v>50</v>
      </c>
      <c r="K5" s="3" t="s">
        <v>50</v>
      </c>
      <c r="L5" s="3" t="s">
        <v>50</v>
      </c>
      <c r="M5" s="3" t="s">
        <v>50</v>
      </c>
      <c r="N5" s="3" t="s">
        <v>50</v>
      </c>
      <c r="O5" s="3" t="s">
        <v>157</v>
      </c>
      <c r="P5" s="3"/>
      <c r="Q5" s="3" t="s">
        <v>155</v>
      </c>
      <c r="R5" s="3"/>
      <c r="S5" s="3" t="s">
        <v>93</v>
      </c>
      <c r="T5" s="150">
        <v>46220.0</v>
      </c>
      <c r="U5" s="77" t="s">
        <v>52</v>
      </c>
      <c r="V5" s="77" t="s">
        <v>50</v>
      </c>
      <c r="W5" s="77" t="s">
        <v>52</v>
      </c>
      <c r="X5" s="77" t="s">
        <v>50</v>
      </c>
      <c r="Y5" s="77" t="s">
        <v>50</v>
      </c>
    </row>
    <row r="6" ht="15.0" customHeight="1">
      <c r="A6" s="3">
        <v>2002.0</v>
      </c>
      <c r="B6" s="3" t="s">
        <v>223</v>
      </c>
      <c r="C6" s="150">
        <v>46034.0</v>
      </c>
      <c r="D6" s="3">
        <v>6.0</v>
      </c>
      <c r="E6" s="3" t="s">
        <v>73</v>
      </c>
      <c r="F6" s="3" t="s">
        <v>222</v>
      </c>
      <c r="G6" s="3" t="s">
        <v>68</v>
      </c>
      <c r="H6" s="3" t="s">
        <v>48</v>
      </c>
      <c r="I6" s="3" t="s">
        <v>52</v>
      </c>
      <c r="J6" s="3" t="s">
        <v>52</v>
      </c>
      <c r="K6" s="3" t="s">
        <v>50</v>
      </c>
      <c r="L6" s="3" t="s">
        <v>50</v>
      </c>
      <c r="M6" s="3" t="s">
        <v>50</v>
      </c>
      <c r="N6" s="3" t="s">
        <v>52</v>
      </c>
      <c r="O6" s="3" t="s">
        <v>157</v>
      </c>
      <c r="P6" s="3"/>
      <c r="Q6" s="3" t="s">
        <v>152</v>
      </c>
      <c r="R6" s="3"/>
      <c r="S6" s="3" t="s">
        <v>107</v>
      </c>
      <c r="T6" s="150">
        <v>46040.0</v>
      </c>
      <c r="U6" s="77" t="s">
        <v>52</v>
      </c>
      <c r="V6" s="77" t="s">
        <v>50</v>
      </c>
      <c r="W6" s="77" t="s">
        <v>50</v>
      </c>
      <c r="X6" s="77" t="s">
        <v>52</v>
      </c>
      <c r="Y6" s="77" t="s">
        <v>50</v>
      </c>
    </row>
    <row r="7" ht="15.0" customHeight="1">
      <c r="A7" s="3">
        <v>2003.0</v>
      </c>
      <c r="B7" s="3" t="s">
        <v>224</v>
      </c>
      <c r="C7" s="150">
        <v>46065.0</v>
      </c>
      <c r="D7" s="3">
        <v>9.0</v>
      </c>
      <c r="E7" s="3" t="s">
        <v>64</v>
      </c>
      <c r="F7" s="3" t="s">
        <v>225</v>
      </c>
      <c r="G7" s="3" t="s">
        <v>62</v>
      </c>
      <c r="H7" s="3" t="s">
        <v>226</v>
      </c>
      <c r="I7" s="3" t="s">
        <v>52</v>
      </c>
      <c r="J7" s="3" t="s">
        <v>50</v>
      </c>
      <c r="K7" s="3" t="s">
        <v>52</v>
      </c>
      <c r="L7" s="3" t="s">
        <v>50</v>
      </c>
      <c r="M7" s="3" t="s">
        <v>52</v>
      </c>
      <c r="N7" s="3" t="s">
        <v>50</v>
      </c>
      <c r="O7" s="3" t="s">
        <v>157</v>
      </c>
      <c r="P7" s="3"/>
      <c r="Q7" s="3"/>
      <c r="R7" s="3"/>
      <c r="S7" s="3" t="s">
        <v>71</v>
      </c>
      <c r="T7" s="150">
        <v>46074.0</v>
      </c>
      <c r="U7" s="77" t="s">
        <v>50</v>
      </c>
      <c r="V7" s="77" t="s">
        <v>50</v>
      </c>
      <c r="W7" s="77" t="s">
        <v>52</v>
      </c>
      <c r="X7" s="77" t="s">
        <v>52</v>
      </c>
      <c r="Y7" s="77" t="s">
        <v>50</v>
      </c>
    </row>
    <row r="8" ht="15.0" customHeight="1">
      <c r="A8" s="3">
        <v>2004.0</v>
      </c>
      <c r="B8" s="3" t="s">
        <v>227</v>
      </c>
      <c r="C8" s="150">
        <v>46179.0</v>
      </c>
      <c r="D8" s="3">
        <v>18.0</v>
      </c>
      <c r="E8" s="3" t="s">
        <v>61</v>
      </c>
      <c r="F8" s="3" t="s">
        <v>222</v>
      </c>
      <c r="G8" s="3" t="s">
        <v>69</v>
      </c>
      <c r="H8" s="3" t="s">
        <v>48</v>
      </c>
      <c r="I8" s="3" t="s">
        <v>50</v>
      </c>
      <c r="J8" s="3" t="s">
        <v>50</v>
      </c>
      <c r="K8" s="3" t="s">
        <v>52</v>
      </c>
      <c r="L8" s="3" t="s">
        <v>50</v>
      </c>
      <c r="M8" s="3" t="s">
        <v>52</v>
      </c>
      <c r="N8" s="3" t="s">
        <v>52</v>
      </c>
      <c r="O8" s="3"/>
      <c r="P8" s="3" t="s">
        <v>148</v>
      </c>
      <c r="Q8" s="3"/>
      <c r="R8" s="3"/>
      <c r="S8" s="3" t="s">
        <v>107</v>
      </c>
      <c r="T8" s="150">
        <v>46197.0</v>
      </c>
      <c r="U8" s="77" t="s">
        <v>52</v>
      </c>
      <c r="V8" s="77" t="s">
        <v>50</v>
      </c>
      <c r="W8" s="77" t="s">
        <v>50</v>
      </c>
      <c r="X8" s="77" t="s">
        <v>50</v>
      </c>
      <c r="Y8" s="77" t="s">
        <v>52</v>
      </c>
    </row>
    <row r="9" ht="15.0" customHeight="1">
      <c r="A9" s="3">
        <v>2005.0</v>
      </c>
      <c r="B9" s="3" t="s">
        <v>228</v>
      </c>
      <c r="C9" s="150">
        <v>46050.0</v>
      </c>
      <c r="D9" s="3">
        <v>11.0</v>
      </c>
      <c r="E9" s="3" t="s">
        <v>64</v>
      </c>
      <c r="F9" s="3" t="s">
        <v>225</v>
      </c>
      <c r="G9" s="3" t="s">
        <v>69</v>
      </c>
      <c r="H9" s="3" t="s">
        <v>48</v>
      </c>
      <c r="I9" s="3" t="s">
        <v>52</v>
      </c>
      <c r="J9" s="3" t="s">
        <v>52</v>
      </c>
      <c r="K9" s="3" t="s">
        <v>52</v>
      </c>
      <c r="L9" s="3" t="s">
        <v>50</v>
      </c>
      <c r="M9" s="3" t="s">
        <v>50</v>
      </c>
      <c r="N9" s="3" t="s">
        <v>50</v>
      </c>
      <c r="O9" s="3" t="s">
        <v>157</v>
      </c>
      <c r="P9" s="3"/>
      <c r="Q9" s="3" t="s">
        <v>154</v>
      </c>
      <c r="R9" s="3"/>
      <c r="S9" s="3" t="s">
        <v>71</v>
      </c>
      <c r="T9" s="150">
        <v>46061.0</v>
      </c>
      <c r="U9" s="77" t="s">
        <v>50</v>
      </c>
      <c r="V9" s="77" t="s">
        <v>50</v>
      </c>
      <c r="W9" s="77" t="s">
        <v>50</v>
      </c>
      <c r="X9" s="77" t="s">
        <v>50</v>
      </c>
      <c r="Y9" s="77" t="s">
        <v>52</v>
      </c>
    </row>
    <row r="10" ht="15.0" customHeight="1">
      <c r="A10" s="3">
        <v>2006.0</v>
      </c>
      <c r="B10" s="3" t="s">
        <v>229</v>
      </c>
      <c r="C10" s="150">
        <v>46102.0</v>
      </c>
      <c r="D10" s="3">
        <v>21.0</v>
      </c>
      <c r="E10" s="3" t="s">
        <v>61</v>
      </c>
      <c r="F10" s="3" t="s">
        <v>225</v>
      </c>
      <c r="G10" s="3" t="s">
        <v>74</v>
      </c>
      <c r="H10" s="3" t="s">
        <v>226</v>
      </c>
      <c r="I10" s="3" t="s">
        <v>52</v>
      </c>
      <c r="J10" s="3" t="s">
        <v>50</v>
      </c>
      <c r="K10" s="3" t="s">
        <v>50</v>
      </c>
      <c r="L10" s="3" t="s">
        <v>50</v>
      </c>
      <c r="M10" s="3" t="s">
        <v>52</v>
      </c>
      <c r="N10" s="3" t="s">
        <v>50</v>
      </c>
      <c r="O10" s="3" t="s">
        <v>158</v>
      </c>
      <c r="P10" s="3"/>
      <c r="Q10" s="3"/>
      <c r="R10" s="3"/>
      <c r="S10" s="3" t="s">
        <v>103</v>
      </c>
      <c r="T10" s="150">
        <v>46123.0</v>
      </c>
      <c r="U10" s="77" t="s">
        <v>50</v>
      </c>
      <c r="V10" s="77" t="s">
        <v>52</v>
      </c>
      <c r="W10" s="77" t="s">
        <v>50</v>
      </c>
      <c r="X10" s="77" t="s">
        <v>52</v>
      </c>
      <c r="Y10" s="77" t="s">
        <v>52</v>
      </c>
    </row>
    <row r="11" ht="15.0" customHeight="1">
      <c r="A11" s="3">
        <v>2007.0</v>
      </c>
      <c r="B11" s="3" t="s">
        <v>230</v>
      </c>
      <c r="C11" s="150">
        <v>46126.0</v>
      </c>
      <c r="D11" s="3">
        <v>5.0</v>
      </c>
      <c r="E11" s="3" t="s">
        <v>73</v>
      </c>
      <c r="F11" s="3" t="s">
        <v>225</v>
      </c>
      <c r="G11" s="3" t="s">
        <v>160</v>
      </c>
      <c r="H11" s="3" t="s">
        <v>48</v>
      </c>
      <c r="I11" s="3" t="s">
        <v>52</v>
      </c>
      <c r="J11" s="3" t="s">
        <v>50</v>
      </c>
      <c r="K11" s="3" t="s">
        <v>52</v>
      </c>
      <c r="L11" s="3" t="s">
        <v>52</v>
      </c>
      <c r="M11" s="3" t="s">
        <v>50</v>
      </c>
      <c r="N11" s="3" t="s">
        <v>50</v>
      </c>
      <c r="O11" s="3" t="s">
        <v>157</v>
      </c>
      <c r="P11" s="3"/>
      <c r="Q11" s="3" t="s">
        <v>152</v>
      </c>
      <c r="R11" s="3"/>
      <c r="S11" s="3" t="s">
        <v>106</v>
      </c>
      <c r="T11" s="150">
        <v>46131.0</v>
      </c>
      <c r="U11" s="77" t="s">
        <v>50</v>
      </c>
      <c r="V11" s="77" t="s">
        <v>52</v>
      </c>
      <c r="W11" s="77" t="s">
        <v>52</v>
      </c>
      <c r="X11" s="77" t="s">
        <v>52</v>
      </c>
      <c r="Y11" s="77" t="s">
        <v>50</v>
      </c>
    </row>
    <row r="12" ht="15.0" customHeight="1">
      <c r="A12" s="3">
        <v>2008.0</v>
      </c>
      <c r="B12" s="3" t="s">
        <v>231</v>
      </c>
      <c r="C12" s="150">
        <v>46020.0</v>
      </c>
      <c r="D12" s="3">
        <v>17.0</v>
      </c>
      <c r="E12" s="3" t="s">
        <v>61</v>
      </c>
      <c r="F12" s="3" t="s">
        <v>232</v>
      </c>
      <c r="G12" s="3" t="s">
        <v>69</v>
      </c>
      <c r="H12" s="3" t="s">
        <v>226</v>
      </c>
      <c r="I12" s="3" t="s">
        <v>50</v>
      </c>
      <c r="J12" s="3" t="s">
        <v>52</v>
      </c>
      <c r="K12" s="3" t="s">
        <v>50</v>
      </c>
      <c r="L12" s="3" t="s">
        <v>50</v>
      </c>
      <c r="M12" s="3" t="s">
        <v>50</v>
      </c>
      <c r="N12" s="3" t="s">
        <v>52</v>
      </c>
      <c r="O12" s="3"/>
      <c r="P12" s="3" t="s">
        <v>149</v>
      </c>
      <c r="Q12" s="3"/>
      <c r="R12" s="3"/>
      <c r="S12" s="3" t="s">
        <v>110</v>
      </c>
      <c r="T12" s="150">
        <v>46037.0</v>
      </c>
      <c r="U12" s="77" t="s">
        <v>50</v>
      </c>
      <c r="V12" s="77" t="s">
        <v>50</v>
      </c>
      <c r="W12" s="77" t="s">
        <v>52</v>
      </c>
      <c r="X12" s="77" t="s">
        <v>50</v>
      </c>
      <c r="Y12" s="77" t="s">
        <v>50</v>
      </c>
    </row>
    <row r="13" ht="15.0" customHeight="1">
      <c r="A13" s="3">
        <v>2009.0</v>
      </c>
      <c r="B13" s="3" t="s">
        <v>233</v>
      </c>
      <c r="C13" s="150">
        <v>46128.0</v>
      </c>
      <c r="D13" s="3">
        <v>17.0</v>
      </c>
      <c r="E13" s="3" t="s">
        <v>73</v>
      </c>
      <c r="F13" s="3" t="s">
        <v>225</v>
      </c>
      <c r="G13" s="3" t="s">
        <v>62</v>
      </c>
      <c r="H13" s="3" t="s">
        <v>226</v>
      </c>
      <c r="I13" s="3" t="s">
        <v>52</v>
      </c>
      <c r="J13" s="3" t="s">
        <v>50</v>
      </c>
      <c r="K13" s="3" t="s">
        <v>52</v>
      </c>
      <c r="L13" s="3" t="s">
        <v>50</v>
      </c>
      <c r="M13" s="3" t="s">
        <v>50</v>
      </c>
      <c r="N13" s="3" t="s">
        <v>52</v>
      </c>
      <c r="O13" s="3" t="s">
        <v>157</v>
      </c>
      <c r="P13" s="3"/>
      <c r="Q13" s="3"/>
      <c r="R13" s="3"/>
      <c r="S13" s="3" t="s">
        <v>106</v>
      </c>
      <c r="T13" s="150">
        <v>46145.0</v>
      </c>
      <c r="U13" s="77" t="s">
        <v>50</v>
      </c>
      <c r="V13" s="77" t="s">
        <v>50</v>
      </c>
      <c r="W13" s="77" t="s">
        <v>50</v>
      </c>
      <c r="X13" s="77" t="s">
        <v>50</v>
      </c>
      <c r="Y13" s="77" t="s">
        <v>52</v>
      </c>
    </row>
    <row r="14" ht="15.0" customHeight="1">
      <c r="A14" s="3">
        <v>2010.0</v>
      </c>
      <c r="B14" s="3" t="s">
        <v>234</v>
      </c>
      <c r="C14" s="150">
        <v>46043.0</v>
      </c>
      <c r="D14" s="3">
        <v>6.0</v>
      </c>
      <c r="E14" s="3" t="s">
        <v>73</v>
      </c>
      <c r="F14" s="3" t="s">
        <v>222</v>
      </c>
      <c r="G14" s="3" t="s">
        <v>67</v>
      </c>
      <c r="H14" s="3" t="s">
        <v>48</v>
      </c>
      <c r="I14" s="3" t="s">
        <v>52</v>
      </c>
      <c r="J14" s="3" t="s">
        <v>52</v>
      </c>
      <c r="K14" s="3" t="s">
        <v>52</v>
      </c>
      <c r="L14" s="3" t="s">
        <v>52</v>
      </c>
      <c r="M14" s="3" t="s">
        <v>52</v>
      </c>
      <c r="N14" s="3" t="s">
        <v>52</v>
      </c>
      <c r="O14" s="3" t="s">
        <v>157</v>
      </c>
      <c r="P14" s="3"/>
      <c r="Q14" s="3" t="s">
        <v>152</v>
      </c>
      <c r="R14" s="3"/>
      <c r="S14" s="3" t="s">
        <v>103</v>
      </c>
      <c r="T14" s="150">
        <v>46049.0</v>
      </c>
      <c r="U14" s="77" t="s">
        <v>50</v>
      </c>
      <c r="V14" s="77" t="s">
        <v>50</v>
      </c>
      <c r="W14" s="77" t="s">
        <v>52</v>
      </c>
      <c r="X14" s="77" t="s">
        <v>50</v>
      </c>
      <c r="Y14" s="77" t="s">
        <v>50</v>
      </c>
    </row>
    <row r="15" ht="15.0" customHeight="1">
      <c r="A15" s="3">
        <v>2011.0</v>
      </c>
      <c r="B15" s="3" t="s">
        <v>235</v>
      </c>
      <c r="C15" s="150">
        <v>46112.0</v>
      </c>
      <c r="D15" s="3">
        <v>15.0</v>
      </c>
      <c r="E15" s="3" t="s">
        <v>73</v>
      </c>
      <c r="F15" s="3" t="s">
        <v>225</v>
      </c>
      <c r="G15" s="3" t="s">
        <v>69</v>
      </c>
      <c r="H15" s="3" t="s">
        <v>226</v>
      </c>
      <c r="I15" s="3" t="s">
        <v>50</v>
      </c>
      <c r="J15" s="3" t="s">
        <v>50</v>
      </c>
      <c r="K15" s="3" t="s">
        <v>50</v>
      </c>
      <c r="L15" s="3" t="s">
        <v>50</v>
      </c>
      <c r="M15" s="3" t="s">
        <v>52</v>
      </c>
      <c r="N15" s="3" t="s">
        <v>50</v>
      </c>
      <c r="O15" s="3"/>
      <c r="P15" s="3" t="s">
        <v>149</v>
      </c>
      <c r="Q15" s="3"/>
      <c r="R15" s="3"/>
      <c r="S15" s="3" t="s">
        <v>103</v>
      </c>
      <c r="T15" s="150">
        <v>46127.0</v>
      </c>
      <c r="U15" s="77" t="s">
        <v>50</v>
      </c>
      <c r="V15" s="77" t="s">
        <v>50</v>
      </c>
      <c r="W15" s="77" t="s">
        <v>50</v>
      </c>
      <c r="X15" s="77" t="s">
        <v>50</v>
      </c>
      <c r="Y15" s="77" t="s">
        <v>50</v>
      </c>
    </row>
    <row r="16" ht="15.0" customHeight="1">
      <c r="A16" s="3">
        <v>2012.0</v>
      </c>
      <c r="B16" s="3" t="s">
        <v>236</v>
      </c>
      <c r="C16" s="150">
        <v>46201.0</v>
      </c>
      <c r="D16" s="3">
        <v>18.0</v>
      </c>
      <c r="E16" s="3" t="s">
        <v>61</v>
      </c>
      <c r="F16" s="3" t="s">
        <v>225</v>
      </c>
      <c r="G16" s="3" t="s">
        <v>68</v>
      </c>
      <c r="H16" s="3" t="s">
        <v>226</v>
      </c>
      <c r="I16" s="3" t="s">
        <v>52</v>
      </c>
      <c r="J16" s="3" t="s">
        <v>50</v>
      </c>
      <c r="K16" s="3" t="s">
        <v>52</v>
      </c>
      <c r="L16" s="3" t="s">
        <v>50</v>
      </c>
      <c r="M16" s="3" t="s">
        <v>50</v>
      </c>
      <c r="N16" s="3" t="s">
        <v>52</v>
      </c>
      <c r="O16" s="3" t="s">
        <v>158</v>
      </c>
      <c r="P16" s="3"/>
      <c r="Q16" s="3"/>
      <c r="R16" s="3"/>
      <c r="S16" s="3" t="s">
        <v>101</v>
      </c>
      <c r="T16" s="150">
        <v>46219.0</v>
      </c>
      <c r="U16" s="77" t="s">
        <v>50</v>
      </c>
      <c r="V16" s="77" t="s">
        <v>50</v>
      </c>
      <c r="W16" s="77" t="s">
        <v>52</v>
      </c>
      <c r="X16" s="77" t="s">
        <v>52</v>
      </c>
      <c r="Y16" s="77" t="s">
        <v>50</v>
      </c>
    </row>
    <row r="17" ht="15.0" customHeight="1">
      <c r="A17" s="3">
        <v>2013.0</v>
      </c>
      <c r="B17" s="3" t="s">
        <v>237</v>
      </c>
      <c r="C17" s="150">
        <v>46196.0</v>
      </c>
      <c r="D17" s="3">
        <v>13.0</v>
      </c>
      <c r="E17" s="3" t="s">
        <v>64</v>
      </c>
      <c r="F17" s="3" t="s">
        <v>225</v>
      </c>
      <c r="G17" s="3" t="s">
        <v>72</v>
      </c>
      <c r="H17" s="3" t="s">
        <v>48</v>
      </c>
      <c r="I17" s="3" t="s">
        <v>50</v>
      </c>
      <c r="J17" s="3" t="s">
        <v>52</v>
      </c>
      <c r="K17" s="3" t="s">
        <v>50</v>
      </c>
      <c r="L17" s="3" t="s">
        <v>52</v>
      </c>
      <c r="M17" s="3" t="s">
        <v>52</v>
      </c>
      <c r="N17" s="3" t="s">
        <v>52</v>
      </c>
      <c r="O17" s="3"/>
      <c r="P17" s="3" t="s">
        <v>149</v>
      </c>
      <c r="Q17" s="3"/>
      <c r="R17" s="3"/>
      <c r="S17" s="3" t="s">
        <v>110</v>
      </c>
      <c r="T17" s="150">
        <v>46209.0</v>
      </c>
      <c r="U17" s="77" t="s">
        <v>52</v>
      </c>
      <c r="V17" s="77" t="s">
        <v>50</v>
      </c>
      <c r="W17" s="77" t="s">
        <v>50</v>
      </c>
      <c r="X17" s="77" t="s">
        <v>50</v>
      </c>
      <c r="Y17" s="77" t="s">
        <v>50</v>
      </c>
    </row>
    <row r="18" ht="15.0" customHeight="1">
      <c r="A18" s="3">
        <v>2014.0</v>
      </c>
      <c r="B18" s="3" t="s">
        <v>238</v>
      </c>
      <c r="C18" s="150">
        <v>46092.0</v>
      </c>
      <c r="D18" s="3">
        <v>5.0</v>
      </c>
      <c r="E18" s="3" t="s">
        <v>73</v>
      </c>
      <c r="F18" s="3" t="s">
        <v>225</v>
      </c>
      <c r="G18" s="3" t="s">
        <v>45</v>
      </c>
      <c r="H18" s="3" t="s">
        <v>226</v>
      </c>
      <c r="I18" s="3" t="s">
        <v>52</v>
      </c>
      <c r="J18" s="3" t="s">
        <v>50</v>
      </c>
      <c r="K18" s="3" t="s">
        <v>52</v>
      </c>
      <c r="L18" s="3" t="s">
        <v>50</v>
      </c>
      <c r="M18" s="3" t="s">
        <v>52</v>
      </c>
      <c r="N18" s="3" t="s">
        <v>52</v>
      </c>
      <c r="O18" s="3" t="s">
        <v>157</v>
      </c>
      <c r="P18" s="3"/>
      <c r="Q18" s="3"/>
      <c r="R18" s="3"/>
      <c r="S18" s="3" t="s">
        <v>104</v>
      </c>
      <c r="T18" s="150">
        <v>46097.0</v>
      </c>
      <c r="U18" s="77" t="s">
        <v>52</v>
      </c>
      <c r="V18" s="77" t="s">
        <v>50</v>
      </c>
      <c r="W18" s="77" t="s">
        <v>52</v>
      </c>
      <c r="X18" s="77" t="s">
        <v>52</v>
      </c>
      <c r="Y18" s="77" t="s">
        <v>50</v>
      </c>
    </row>
    <row r="19" ht="15.0" customHeight="1">
      <c r="A19" s="3">
        <v>2015.0</v>
      </c>
      <c r="B19" s="3" t="s">
        <v>239</v>
      </c>
      <c r="C19" s="150">
        <v>46212.0</v>
      </c>
      <c r="D19" s="3">
        <v>12.0</v>
      </c>
      <c r="E19" s="3" t="s">
        <v>73</v>
      </c>
      <c r="F19" s="3" t="s">
        <v>232</v>
      </c>
      <c r="G19" s="3" t="s">
        <v>68</v>
      </c>
      <c r="H19" s="3" t="s">
        <v>226</v>
      </c>
      <c r="I19" s="3" t="s">
        <v>50</v>
      </c>
      <c r="J19" s="3" t="s">
        <v>52</v>
      </c>
      <c r="K19" s="3" t="s">
        <v>52</v>
      </c>
      <c r="L19" s="3" t="s">
        <v>50</v>
      </c>
      <c r="M19" s="3" t="s">
        <v>52</v>
      </c>
      <c r="N19" s="3" t="s">
        <v>50</v>
      </c>
      <c r="O19" s="3"/>
      <c r="P19" s="3" t="s">
        <v>149</v>
      </c>
      <c r="Q19" s="3"/>
      <c r="R19" s="3"/>
      <c r="S19" s="3" t="s">
        <v>93</v>
      </c>
      <c r="T19" s="150">
        <v>46224.0</v>
      </c>
      <c r="U19" s="77" t="s">
        <v>50</v>
      </c>
      <c r="V19" s="77" t="s">
        <v>50</v>
      </c>
      <c r="W19" s="77" t="s">
        <v>50</v>
      </c>
      <c r="X19" s="77" t="s">
        <v>50</v>
      </c>
      <c r="Y19" s="77" t="s">
        <v>52</v>
      </c>
    </row>
    <row r="20" ht="15.0" customHeight="1">
      <c r="A20" s="3">
        <v>2016.0</v>
      </c>
      <c r="B20" s="3" t="s">
        <v>240</v>
      </c>
      <c r="C20" s="150">
        <v>46189.0</v>
      </c>
      <c r="D20" s="3">
        <v>5.0</v>
      </c>
      <c r="E20" s="3" t="s">
        <v>64</v>
      </c>
      <c r="F20" s="3" t="s">
        <v>225</v>
      </c>
      <c r="G20" s="3" t="s">
        <v>74</v>
      </c>
      <c r="H20" s="3" t="s">
        <v>226</v>
      </c>
      <c r="I20" s="3" t="s">
        <v>52</v>
      </c>
      <c r="J20" s="3" t="s">
        <v>52</v>
      </c>
      <c r="K20" s="3" t="s">
        <v>50</v>
      </c>
      <c r="L20" s="3" t="s">
        <v>52</v>
      </c>
      <c r="M20" s="3" t="s">
        <v>52</v>
      </c>
      <c r="N20" s="3" t="s">
        <v>50</v>
      </c>
      <c r="O20" s="3" t="s">
        <v>158</v>
      </c>
      <c r="P20" s="3"/>
      <c r="Q20" s="3"/>
      <c r="R20" s="3"/>
      <c r="S20" s="3" t="s">
        <v>110</v>
      </c>
      <c r="T20" s="150">
        <v>46194.0</v>
      </c>
      <c r="U20" s="77" t="s">
        <v>50</v>
      </c>
      <c r="V20" s="77" t="s">
        <v>52</v>
      </c>
      <c r="W20" s="77" t="s">
        <v>52</v>
      </c>
      <c r="X20" s="77" t="s">
        <v>50</v>
      </c>
      <c r="Y20" s="77" t="s">
        <v>50</v>
      </c>
    </row>
    <row r="21" ht="15.0" customHeight="1">
      <c r="A21" s="3">
        <v>2017.0</v>
      </c>
      <c r="B21" s="3" t="s">
        <v>241</v>
      </c>
      <c r="C21" s="150">
        <v>46216.0</v>
      </c>
      <c r="D21" s="3">
        <v>7.0</v>
      </c>
      <c r="E21" s="3" t="s">
        <v>61</v>
      </c>
      <c r="F21" s="3" t="s">
        <v>225</v>
      </c>
      <c r="G21" s="3" t="s">
        <v>68</v>
      </c>
      <c r="H21" s="3" t="s">
        <v>48</v>
      </c>
      <c r="I21" s="3" t="s">
        <v>50</v>
      </c>
      <c r="J21" s="3" t="s">
        <v>50</v>
      </c>
      <c r="K21" s="3" t="s">
        <v>52</v>
      </c>
      <c r="L21" s="3" t="s">
        <v>52</v>
      </c>
      <c r="M21" s="3" t="s">
        <v>52</v>
      </c>
      <c r="N21" s="3" t="s">
        <v>50</v>
      </c>
      <c r="O21" s="3"/>
      <c r="P21" s="3" t="s">
        <v>149</v>
      </c>
      <c r="Q21" s="3"/>
      <c r="R21" s="3"/>
      <c r="S21" s="3" t="s">
        <v>93</v>
      </c>
      <c r="T21" s="150">
        <v>46223.0</v>
      </c>
      <c r="U21" s="77" t="s">
        <v>50</v>
      </c>
      <c r="V21" s="77" t="s">
        <v>50</v>
      </c>
      <c r="W21" s="77" t="s">
        <v>52</v>
      </c>
      <c r="X21" s="77" t="s">
        <v>52</v>
      </c>
      <c r="Y21" s="77" t="s">
        <v>52</v>
      </c>
    </row>
    <row r="22" ht="15.0" customHeight="1">
      <c r="A22" s="3">
        <v>2018.0</v>
      </c>
      <c r="B22" s="3" t="s">
        <v>242</v>
      </c>
      <c r="C22" s="150">
        <v>46055.0</v>
      </c>
      <c r="D22" s="3">
        <v>15.0</v>
      </c>
      <c r="E22" s="3" t="s">
        <v>73</v>
      </c>
      <c r="F22" s="3" t="s">
        <v>232</v>
      </c>
      <c r="G22" s="3" t="s">
        <v>45</v>
      </c>
      <c r="H22" s="3" t="s">
        <v>226</v>
      </c>
      <c r="I22" s="3" t="s">
        <v>50</v>
      </c>
      <c r="J22" s="3" t="s">
        <v>50</v>
      </c>
      <c r="K22" s="3" t="s">
        <v>50</v>
      </c>
      <c r="L22" s="3" t="s">
        <v>50</v>
      </c>
      <c r="M22" s="3" t="s">
        <v>50</v>
      </c>
      <c r="N22" s="3" t="s">
        <v>52</v>
      </c>
      <c r="O22" s="3"/>
      <c r="P22" s="3" t="s">
        <v>119</v>
      </c>
      <c r="Q22" s="3"/>
      <c r="R22" s="3"/>
      <c r="S22" s="3" t="s">
        <v>101</v>
      </c>
      <c r="T22" s="150">
        <v>46070.0</v>
      </c>
      <c r="U22" s="77" t="s">
        <v>50</v>
      </c>
      <c r="V22" s="77" t="s">
        <v>50</v>
      </c>
      <c r="W22" s="77" t="s">
        <v>52</v>
      </c>
      <c r="X22" s="77" t="s">
        <v>50</v>
      </c>
      <c r="Y22" s="77" t="s">
        <v>52</v>
      </c>
    </row>
    <row r="23" ht="15.0" customHeight="1">
      <c r="A23" s="3">
        <v>2019.0</v>
      </c>
      <c r="B23" s="3" t="s">
        <v>243</v>
      </c>
      <c r="C23" s="150">
        <v>46219.0</v>
      </c>
      <c r="D23" s="3">
        <v>5.0</v>
      </c>
      <c r="E23" s="3" t="s">
        <v>65</v>
      </c>
      <c r="F23" s="3" t="s">
        <v>222</v>
      </c>
      <c r="G23" s="3" t="s">
        <v>72</v>
      </c>
      <c r="H23" s="3" t="s">
        <v>226</v>
      </c>
      <c r="I23" s="3" t="s">
        <v>52</v>
      </c>
      <c r="J23" s="3" t="s">
        <v>50</v>
      </c>
      <c r="K23" s="3" t="s">
        <v>50</v>
      </c>
      <c r="L23" s="3" t="s">
        <v>52</v>
      </c>
      <c r="M23" s="3" t="s">
        <v>50</v>
      </c>
      <c r="N23" s="3" t="s">
        <v>50</v>
      </c>
      <c r="O23" s="3" t="s">
        <v>157</v>
      </c>
      <c r="P23" s="3"/>
      <c r="Q23" s="3"/>
      <c r="R23" s="3"/>
      <c r="S23" s="3" t="s">
        <v>103</v>
      </c>
      <c r="T23" s="150">
        <v>46224.0</v>
      </c>
      <c r="U23" s="77" t="s">
        <v>50</v>
      </c>
      <c r="V23" s="77" t="s">
        <v>50</v>
      </c>
      <c r="W23" s="77" t="s">
        <v>52</v>
      </c>
      <c r="X23" s="77" t="s">
        <v>50</v>
      </c>
      <c r="Y23" s="77" t="s">
        <v>52</v>
      </c>
    </row>
    <row r="24" ht="15.0" customHeight="1">
      <c r="A24" s="3">
        <v>2020.0</v>
      </c>
      <c r="B24" s="3" t="s">
        <v>244</v>
      </c>
      <c r="C24" s="150">
        <v>46213.0</v>
      </c>
      <c r="D24" s="3">
        <v>5.0</v>
      </c>
      <c r="E24" s="3" t="s">
        <v>73</v>
      </c>
      <c r="F24" s="3" t="s">
        <v>225</v>
      </c>
      <c r="G24" s="3" t="s">
        <v>69</v>
      </c>
      <c r="H24" s="3" t="s">
        <v>48</v>
      </c>
      <c r="I24" s="3" t="s">
        <v>52</v>
      </c>
      <c r="J24" s="3" t="s">
        <v>50</v>
      </c>
      <c r="K24" s="3" t="s">
        <v>50</v>
      </c>
      <c r="L24" s="3" t="s">
        <v>50</v>
      </c>
      <c r="M24" s="3" t="s">
        <v>50</v>
      </c>
      <c r="N24" s="3" t="s">
        <v>50</v>
      </c>
      <c r="O24" s="3" t="s">
        <v>157</v>
      </c>
      <c r="P24" s="3"/>
      <c r="Q24" s="3" t="s">
        <v>153</v>
      </c>
      <c r="R24" s="3"/>
      <c r="S24" s="3" t="s">
        <v>104</v>
      </c>
      <c r="T24" s="150">
        <v>46218.0</v>
      </c>
      <c r="U24" s="77" t="s">
        <v>52</v>
      </c>
      <c r="V24" s="77" t="s">
        <v>52</v>
      </c>
      <c r="W24" s="77" t="s">
        <v>50</v>
      </c>
      <c r="X24" s="77" t="s">
        <v>50</v>
      </c>
      <c r="Y24" s="77" t="s">
        <v>52</v>
      </c>
    </row>
    <row r="25" ht="15.0" customHeight="1">
      <c r="A25" s="3">
        <v>2021.0</v>
      </c>
      <c r="B25" s="3" t="s">
        <v>245</v>
      </c>
      <c r="C25" s="150">
        <v>46146.0</v>
      </c>
      <c r="D25" s="3">
        <v>17.0</v>
      </c>
      <c r="E25" s="3" t="s">
        <v>73</v>
      </c>
      <c r="F25" s="3" t="s">
        <v>232</v>
      </c>
      <c r="G25" s="3" t="s">
        <v>62</v>
      </c>
      <c r="H25" s="3" t="s">
        <v>226</v>
      </c>
      <c r="I25" s="3" t="s">
        <v>50</v>
      </c>
      <c r="J25" s="3" t="s">
        <v>52</v>
      </c>
      <c r="K25" s="3" t="s">
        <v>50</v>
      </c>
      <c r="L25" s="3" t="s">
        <v>50</v>
      </c>
      <c r="M25" s="3" t="s">
        <v>50</v>
      </c>
      <c r="N25" s="3" t="s">
        <v>50</v>
      </c>
      <c r="O25" s="3"/>
      <c r="P25" s="3" t="s">
        <v>148</v>
      </c>
      <c r="Q25" s="3"/>
      <c r="R25" s="3"/>
      <c r="S25" s="3" t="s">
        <v>98</v>
      </c>
      <c r="T25" s="150">
        <v>46163.0</v>
      </c>
      <c r="U25" s="77" t="s">
        <v>50</v>
      </c>
      <c r="V25" s="77" t="s">
        <v>52</v>
      </c>
      <c r="W25" s="77" t="s">
        <v>50</v>
      </c>
      <c r="X25" s="77" t="s">
        <v>50</v>
      </c>
      <c r="Y25" s="77" t="s">
        <v>50</v>
      </c>
    </row>
    <row r="26" ht="15.0" customHeight="1">
      <c r="A26" s="3">
        <v>2022.0</v>
      </c>
      <c r="B26" s="3" t="s">
        <v>246</v>
      </c>
      <c r="C26" s="150">
        <v>46194.0</v>
      </c>
      <c r="D26" s="3">
        <v>15.0</v>
      </c>
      <c r="E26" s="3" t="s">
        <v>64</v>
      </c>
      <c r="F26" s="3" t="s">
        <v>232</v>
      </c>
      <c r="G26" s="3" t="s">
        <v>62</v>
      </c>
      <c r="H26" s="3" t="s">
        <v>226</v>
      </c>
      <c r="I26" s="3" t="s">
        <v>52</v>
      </c>
      <c r="J26" s="3" t="s">
        <v>50</v>
      </c>
      <c r="K26" s="3" t="s">
        <v>50</v>
      </c>
      <c r="L26" s="3" t="s">
        <v>52</v>
      </c>
      <c r="M26" s="3" t="s">
        <v>50</v>
      </c>
      <c r="N26" s="3" t="s">
        <v>52</v>
      </c>
      <c r="O26" s="3" t="s">
        <v>158</v>
      </c>
      <c r="P26" s="3"/>
      <c r="Q26" s="3"/>
      <c r="R26" s="3"/>
      <c r="S26" s="3" t="s">
        <v>102</v>
      </c>
      <c r="T26" s="150">
        <v>46209.0</v>
      </c>
      <c r="U26" s="77" t="s">
        <v>52</v>
      </c>
      <c r="V26" s="77" t="s">
        <v>52</v>
      </c>
      <c r="W26" s="77" t="s">
        <v>50</v>
      </c>
      <c r="X26" s="77" t="s">
        <v>52</v>
      </c>
      <c r="Y26" s="77" t="s">
        <v>50</v>
      </c>
    </row>
    <row r="27" ht="15.0" customHeight="1">
      <c r="A27" s="3">
        <v>2023.0</v>
      </c>
      <c r="B27" s="3" t="s">
        <v>247</v>
      </c>
      <c r="C27" s="150">
        <v>46072.0</v>
      </c>
      <c r="D27" s="3">
        <v>14.0</v>
      </c>
      <c r="E27" s="3" t="s">
        <v>61</v>
      </c>
      <c r="F27" s="3" t="s">
        <v>225</v>
      </c>
      <c r="G27" s="3" t="s">
        <v>67</v>
      </c>
      <c r="H27" s="3" t="s">
        <v>226</v>
      </c>
      <c r="I27" s="3" t="s">
        <v>52</v>
      </c>
      <c r="J27" s="3" t="s">
        <v>52</v>
      </c>
      <c r="K27" s="3" t="s">
        <v>50</v>
      </c>
      <c r="L27" s="3" t="s">
        <v>52</v>
      </c>
      <c r="M27" s="3" t="s">
        <v>50</v>
      </c>
      <c r="N27" s="3" t="s">
        <v>50</v>
      </c>
      <c r="O27" s="3" t="s">
        <v>158</v>
      </c>
      <c r="P27" s="3"/>
      <c r="Q27" s="3"/>
      <c r="R27" s="3"/>
      <c r="S27" s="3" t="s">
        <v>60</v>
      </c>
      <c r="T27" s="150">
        <v>46086.0</v>
      </c>
      <c r="U27" s="77" t="s">
        <v>50</v>
      </c>
      <c r="V27" s="77" t="s">
        <v>50</v>
      </c>
      <c r="W27" s="77" t="s">
        <v>50</v>
      </c>
      <c r="X27" s="77" t="s">
        <v>50</v>
      </c>
      <c r="Y27" s="77" t="s">
        <v>50</v>
      </c>
    </row>
    <row r="28" ht="15.0" customHeight="1">
      <c r="A28" s="3">
        <v>2024.0</v>
      </c>
      <c r="B28" s="3" t="s">
        <v>248</v>
      </c>
      <c r="C28" s="150">
        <v>46034.0</v>
      </c>
      <c r="D28" s="3">
        <v>10.0</v>
      </c>
      <c r="E28" s="3" t="s">
        <v>65</v>
      </c>
      <c r="F28" s="3" t="s">
        <v>222</v>
      </c>
      <c r="G28" s="3" t="s">
        <v>160</v>
      </c>
      <c r="H28" s="3" t="s">
        <v>226</v>
      </c>
      <c r="I28" s="3" t="s">
        <v>50</v>
      </c>
      <c r="J28" s="3" t="s">
        <v>50</v>
      </c>
      <c r="K28" s="3" t="s">
        <v>52</v>
      </c>
      <c r="L28" s="3" t="s">
        <v>50</v>
      </c>
      <c r="M28" s="3" t="s">
        <v>50</v>
      </c>
      <c r="N28" s="3" t="s">
        <v>52</v>
      </c>
      <c r="O28" s="3"/>
      <c r="P28" s="3" t="s">
        <v>148</v>
      </c>
      <c r="Q28" s="3"/>
      <c r="R28" s="3"/>
      <c r="S28" s="3" t="s">
        <v>102</v>
      </c>
      <c r="T28" s="150">
        <v>46044.0</v>
      </c>
      <c r="U28" s="77" t="s">
        <v>50</v>
      </c>
      <c r="V28" s="77" t="s">
        <v>50</v>
      </c>
      <c r="W28" s="77" t="s">
        <v>50</v>
      </c>
      <c r="X28" s="77" t="s">
        <v>50</v>
      </c>
      <c r="Y28" s="77" t="s">
        <v>50</v>
      </c>
    </row>
    <row r="29" ht="15.0" customHeight="1">
      <c r="A29" s="3">
        <v>2025.0</v>
      </c>
      <c r="B29" s="3" t="s">
        <v>249</v>
      </c>
      <c r="C29" s="150">
        <v>46123.0</v>
      </c>
      <c r="D29" s="3">
        <v>20.0</v>
      </c>
      <c r="E29" s="3" t="s">
        <v>61</v>
      </c>
      <c r="F29" s="3" t="s">
        <v>222</v>
      </c>
      <c r="G29" s="3" t="s">
        <v>45</v>
      </c>
      <c r="H29" s="3" t="s">
        <v>226</v>
      </c>
      <c r="I29" s="3" t="s">
        <v>52</v>
      </c>
      <c r="J29" s="3" t="s">
        <v>50</v>
      </c>
      <c r="K29" s="3" t="s">
        <v>52</v>
      </c>
      <c r="L29" s="3" t="s">
        <v>50</v>
      </c>
      <c r="M29" s="3" t="s">
        <v>52</v>
      </c>
      <c r="N29" s="3" t="s">
        <v>52</v>
      </c>
      <c r="O29" s="3" t="s">
        <v>158</v>
      </c>
      <c r="P29" s="3"/>
      <c r="Q29" s="3"/>
      <c r="R29" s="3"/>
      <c r="S29" s="3" t="s">
        <v>102</v>
      </c>
      <c r="T29" s="150">
        <v>46143.0</v>
      </c>
      <c r="U29" s="77" t="s">
        <v>50</v>
      </c>
      <c r="V29" s="77" t="s">
        <v>50</v>
      </c>
      <c r="W29" s="77" t="s">
        <v>50</v>
      </c>
      <c r="X29" s="77" t="s">
        <v>52</v>
      </c>
      <c r="Y29" s="77" t="s">
        <v>50</v>
      </c>
    </row>
    <row r="30" ht="15.0" customHeight="1">
      <c r="A30" s="3">
        <v>2026.0</v>
      </c>
      <c r="B30" s="3" t="s">
        <v>250</v>
      </c>
      <c r="C30" s="150">
        <v>46221.0</v>
      </c>
      <c r="D30" s="3">
        <v>3.0</v>
      </c>
      <c r="E30" s="3" t="s">
        <v>64</v>
      </c>
      <c r="F30" s="3" t="s">
        <v>232</v>
      </c>
      <c r="G30" s="3" t="s">
        <v>69</v>
      </c>
      <c r="H30" s="3" t="s">
        <v>226</v>
      </c>
      <c r="I30" s="3" t="s">
        <v>50</v>
      </c>
      <c r="J30" s="3" t="s">
        <v>52</v>
      </c>
      <c r="K30" s="3" t="s">
        <v>52</v>
      </c>
      <c r="L30" s="3" t="s">
        <v>50</v>
      </c>
      <c r="M30" s="3" t="s">
        <v>52</v>
      </c>
      <c r="N30" s="3" t="s">
        <v>52</v>
      </c>
      <c r="O30" s="3"/>
      <c r="P30" s="3" t="s">
        <v>119</v>
      </c>
      <c r="Q30" s="3"/>
      <c r="R30" s="3"/>
      <c r="S30" s="3" t="s">
        <v>60</v>
      </c>
      <c r="T30" s="150">
        <v>46224.0</v>
      </c>
      <c r="U30" s="77" t="s">
        <v>50</v>
      </c>
      <c r="V30" s="77" t="s">
        <v>52</v>
      </c>
      <c r="W30" s="77" t="s">
        <v>50</v>
      </c>
      <c r="X30" s="77" t="s">
        <v>52</v>
      </c>
      <c r="Y30" s="77" t="s">
        <v>50</v>
      </c>
    </row>
    <row r="31" ht="15.0" customHeight="1">
      <c r="A31" s="3">
        <v>2027.0</v>
      </c>
      <c r="B31" s="3" t="s">
        <v>251</v>
      </c>
      <c r="C31" s="150">
        <v>46054.0</v>
      </c>
      <c r="D31" s="3">
        <v>19.0</v>
      </c>
      <c r="E31" s="3" t="s">
        <v>61</v>
      </c>
      <c r="F31" s="3" t="s">
        <v>232</v>
      </c>
      <c r="G31" s="3" t="s">
        <v>74</v>
      </c>
      <c r="H31" s="3" t="s">
        <v>48</v>
      </c>
      <c r="I31" s="3" t="s">
        <v>50</v>
      </c>
      <c r="J31" s="3" t="s">
        <v>50</v>
      </c>
      <c r="K31" s="3" t="s">
        <v>50</v>
      </c>
      <c r="L31" s="3" t="s">
        <v>52</v>
      </c>
      <c r="M31" s="3" t="s">
        <v>52</v>
      </c>
      <c r="N31" s="3" t="s">
        <v>50</v>
      </c>
      <c r="O31" s="3"/>
      <c r="P31" s="3" t="s">
        <v>119</v>
      </c>
      <c r="Q31" s="3"/>
      <c r="R31" s="3"/>
      <c r="S31" s="3" t="s">
        <v>101</v>
      </c>
      <c r="T31" s="150">
        <v>46073.0</v>
      </c>
      <c r="U31" s="77" t="s">
        <v>52</v>
      </c>
      <c r="V31" s="77" t="s">
        <v>50</v>
      </c>
      <c r="W31" s="77" t="s">
        <v>50</v>
      </c>
      <c r="X31" s="77" t="s">
        <v>50</v>
      </c>
      <c r="Y31" s="77" t="s">
        <v>50</v>
      </c>
    </row>
    <row r="32" ht="15.0" customHeight="1">
      <c r="A32" s="3">
        <v>2028.0</v>
      </c>
      <c r="B32" s="3" t="s">
        <v>252</v>
      </c>
      <c r="C32" s="150">
        <v>46028.0</v>
      </c>
      <c r="D32" s="3">
        <v>14.0</v>
      </c>
      <c r="E32" s="3" t="s">
        <v>64</v>
      </c>
      <c r="F32" s="3" t="s">
        <v>222</v>
      </c>
      <c r="G32" s="3" t="s">
        <v>45</v>
      </c>
      <c r="H32" s="3" t="s">
        <v>48</v>
      </c>
      <c r="I32" s="3" t="s">
        <v>52</v>
      </c>
      <c r="J32" s="3" t="s">
        <v>50</v>
      </c>
      <c r="K32" s="3" t="s">
        <v>52</v>
      </c>
      <c r="L32" s="3" t="s">
        <v>52</v>
      </c>
      <c r="M32" s="3" t="s">
        <v>52</v>
      </c>
      <c r="N32" s="3" t="s">
        <v>52</v>
      </c>
      <c r="O32" s="3" t="s">
        <v>157</v>
      </c>
      <c r="P32" s="3"/>
      <c r="Q32" s="3" t="s">
        <v>154</v>
      </c>
      <c r="R32" s="3"/>
      <c r="S32" s="3" t="s">
        <v>98</v>
      </c>
      <c r="T32" s="150">
        <v>46042.0</v>
      </c>
      <c r="U32" s="77" t="s">
        <v>52</v>
      </c>
      <c r="V32" s="77" t="s">
        <v>50</v>
      </c>
      <c r="W32" s="77" t="s">
        <v>50</v>
      </c>
      <c r="X32" s="77" t="s">
        <v>52</v>
      </c>
      <c r="Y32" s="77" t="s">
        <v>52</v>
      </c>
    </row>
    <row r="33" ht="15.0" customHeight="1">
      <c r="A33" s="3">
        <v>2029.0</v>
      </c>
      <c r="B33" s="3" t="s">
        <v>253</v>
      </c>
      <c r="C33" s="150">
        <v>46196.0</v>
      </c>
      <c r="D33" s="3">
        <v>11.0</v>
      </c>
      <c r="E33" s="3" t="s">
        <v>65</v>
      </c>
      <c r="F33" s="3" t="s">
        <v>222</v>
      </c>
      <c r="G33" s="3" t="s">
        <v>69</v>
      </c>
      <c r="H33" s="3" t="s">
        <v>226</v>
      </c>
      <c r="I33" s="3" t="s">
        <v>50</v>
      </c>
      <c r="J33" s="3" t="s">
        <v>50</v>
      </c>
      <c r="K33" s="3" t="s">
        <v>50</v>
      </c>
      <c r="L33" s="3" t="s">
        <v>52</v>
      </c>
      <c r="M33" s="3" t="s">
        <v>50</v>
      </c>
      <c r="N33" s="3" t="s">
        <v>50</v>
      </c>
      <c r="O33" s="3"/>
      <c r="P33" s="3" t="s">
        <v>149</v>
      </c>
      <c r="Q33" s="3"/>
      <c r="R33" s="3"/>
      <c r="S33" s="3" t="s">
        <v>101</v>
      </c>
      <c r="T33" s="150">
        <v>46207.0</v>
      </c>
      <c r="U33" s="77" t="s">
        <v>50</v>
      </c>
      <c r="V33" s="77" t="s">
        <v>50</v>
      </c>
      <c r="W33" s="77" t="s">
        <v>52</v>
      </c>
      <c r="X33" s="77" t="s">
        <v>50</v>
      </c>
      <c r="Y33" s="77" t="s">
        <v>50</v>
      </c>
    </row>
    <row r="34" ht="15.0" customHeight="1">
      <c r="A34" s="3">
        <v>2030.0</v>
      </c>
      <c r="B34" s="3" t="s">
        <v>254</v>
      </c>
      <c r="C34" s="150">
        <v>46018.0</v>
      </c>
      <c r="D34" s="3">
        <v>6.0</v>
      </c>
      <c r="E34" s="3" t="s">
        <v>73</v>
      </c>
      <c r="F34" s="3" t="s">
        <v>232</v>
      </c>
      <c r="G34" s="3" t="s">
        <v>68</v>
      </c>
      <c r="H34" s="3" t="s">
        <v>226</v>
      </c>
      <c r="I34" s="3" t="s">
        <v>52</v>
      </c>
      <c r="J34" s="3" t="s">
        <v>52</v>
      </c>
      <c r="K34" s="3" t="s">
        <v>52</v>
      </c>
      <c r="L34" s="3" t="s">
        <v>50</v>
      </c>
      <c r="M34" s="3" t="s">
        <v>52</v>
      </c>
      <c r="N34" s="3" t="s">
        <v>50</v>
      </c>
      <c r="O34" s="3" t="s">
        <v>158</v>
      </c>
      <c r="P34" s="3"/>
      <c r="Q34" s="3"/>
      <c r="R34" s="3"/>
      <c r="S34" s="3" t="s">
        <v>71</v>
      </c>
      <c r="T34" s="150">
        <v>46024.0</v>
      </c>
      <c r="U34" s="77" t="s">
        <v>50</v>
      </c>
      <c r="V34" s="77" t="s">
        <v>52</v>
      </c>
      <c r="W34" s="77" t="s">
        <v>52</v>
      </c>
      <c r="X34" s="77" t="s">
        <v>50</v>
      </c>
      <c r="Y34" s="77" t="s">
        <v>52</v>
      </c>
    </row>
    <row r="35" ht="15.0" customHeight="1">
      <c r="A35" s="151">
        <v>4001.0</v>
      </c>
      <c r="B35" s="152" t="s">
        <v>255</v>
      </c>
      <c r="C35" s="153">
        <v>46204.0</v>
      </c>
      <c r="D35" s="151">
        <v>24.0</v>
      </c>
      <c r="E35" s="152" t="s">
        <v>64</v>
      </c>
      <c r="F35" s="152" t="s">
        <v>225</v>
      </c>
      <c r="G35" s="152" t="s">
        <v>69</v>
      </c>
      <c r="H35" s="152" t="s">
        <v>48</v>
      </c>
      <c r="I35" s="152" t="s">
        <v>52</v>
      </c>
      <c r="J35" s="152" t="s">
        <v>50</v>
      </c>
      <c r="K35" s="152" t="s">
        <v>52</v>
      </c>
      <c r="L35" s="152" t="s">
        <v>50</v>
      </c>
      <c r="M35" s="152" t="s">
        <v>50</v>
      </c>
      <c r="N35" s="3"/>
      <c r="O35" s="152" t="s">
        <v>157</v>
      </c>
      <c r="P35" s="152" t="s">
        <v>119</v>
      </c>
      <c r="Q35" s="3"/>
      <c r="R35" s="152" t="s">
        <v>256</v>
      </c>
      <c r="S35" s="152" t="s">
        <v>60</v>
      </c>
      <c r="T35" s="154">
        <v>46224.0</v>
      </c>
      <c r="U35" s="77"/>
      <c r="V35" s="77"/>
      <c r="W35" s="77"/>
      <c r="X35" s="77"/>
      <c r="Y35" s="77"/>
    </row>
    <row r="36" ht="15.0" customHeight="1">
      <c r="A36" s="151">
        <v>4002.0</v>
      </c>
      <c r="B36" s="152" t="s">
        <v>257</v>
      </c>
      <c r="C36" s="153">
        <v>46208.0</v>
      </c>
      <c r="D36" s="151">
        <v>20.0</v>
      </c>
      <c r="E36" s="152" t="s">
        <v>61</v>
      </c>
      <c r="F36" s="152" t="s">
        <v>222</v>
      </c>
      <c r="G36" s="152" t="s">
        <v>72</v>
      </c>
      <c r="H36" s="152" t="s">
        <v>48</v>
      </c>
      <c r="I36" s="152" t="s">
        <v>52</v>
      </c>
      <c r="J36" s="152" t="s">
        <v>50</v>
      </c>
      <c r="K36" s="152" t="s">
        <v>50</v>
      </c>
      <c r="L36" s="152" t="s">
        <v>52</v>
      </c>
      <c r="M36" s="152" t="s">
        <v>50</v>
      </c>
      <c r="N36" s="3"/>
      <c r="O36" s="3"/>
      <c r="P36" s="3"/>
      <c r="Q36" s="152" t="s">
        <v>152</v>
      </c>
      <c r="R36" s="152" t="s">
        <v>256</v>
      </c>
      <c r="S36" s="152" t="s">
        <v>71</v>
      </c>
      <c r="T36" s="154">
        <v>46224.0</v>
      </c>
      <c r="U36" s="77"/>
      <c r="V36" s="77"/>
      <c r="W36" s="77"/>
      <c r="X36" s="77"/>
      <c r="Y36" s="77"/>
    </row>
    <row r="37" ht="15.0" customHeight="1">
      <c r="A37" s="151">
        <v>4003.0</v>
      </c>
      <c r="B37" s="152" t="s">
        <v>258</v>
      </c>
      <c r="C37" s="153">
        <v>46201.0</v>
      </c>
      <c r="D37" s="151">
        <v>27.0</v>
      </c>
      <c r="E37" s="152" t="s">
        <v>65</v>
      </c>
      <c r="F37" s="152" t="s">
        <v>232</v>
      </c>
      <c r="G37" s="152" t="s">
        <v>45</v>
      </c>
      <c r="H37" s="152" t="s">
        <v>226</v>
      </c>
      <c r="I37" s="152" t="s">
        <v>50</v>
      </c>
      <c r="J37" s="152" t="s">
        <v>52</v>
      </c>
      <c r="K37" s="152" t="s">
        <v>52</v>
      </c>
      <c r="L37" s="152" t="s">
        <v>50</v>
      </c>
      <c r="M37" s="152" t="s">
        <v>52</v>
      </c>
      <c r="N37" s="3"/>
      <c r="O37" s="152" t="s">
        <v>157</v>
      </c>
      <c r="P37" s="3"/>
      <c r="Q37" s="3"/>
      <c r="R37" s="152" t="s">
        <v>256</v>
      </c>
      <c r="S37" s="152" t="s">
        <v>76</v>
      </c>
      <c r="T37" s="154">
        <v>46223.0</v>
      </c>
      <c r="U37" s="77"/>
      <c r="V37" s="77"/>
      <c r="W37" s="77"/>
      <c r="X37" s="77"/>
      <c r="Y37" s="77"/>
    </row>
    <row r="38" ht="15.0" customHeight="1">
      <c r="A38" s="151">
        <v>1004.0</v>
      </c>
      <c r="B38" s="152" t="s">
        <v>259</v>
      </c>
      <c r="C38" s="153">
        <v>46224.0</v>
      </c>
      <c r="D38" s="151">
        <v>4.0</v>
      </c>
      <c r="E38" s="152" t="s">
        <v>73</v>
      </c>
      <c r="F38" s="152" t="s">
        <v>232</v>
      </c>
      <c r="G38" s="152" t="s">
        <v>72</v>
      </c>
      <c r="H38" s="152" t="s">
        <v>226</v>
      </c>
      <c r="I38" s="152" t="s">
        <v>50</v>
      </c>
      <c r="J38" s="152" t="s">
        <v>52</v>
      </c>
      <c r="K38" s="152" t="s">
        <v>52</v>
      </c>
      <c r="L38" s="152" t="s">
        <v>50</v>
      </c>
      <c r="M38" s="152" t="s">
        <v>50</v>
      </c>
      <c r="N38" s="152" t="s">
        <v>50</v>
      </c>
      <c r="O38" s="3"/>
      <c r="P38" s="152" t="s">
        <v>149</v>
      </c>
      <c r="Q38" s="3"/>
      <c r="R38" s="3"/>
      <c r="S38" s="152" t="s">
        <v>85</v>
      </c>
      <c r="T38" s="154">
        <v>46204.0</v>
      </c>
      <c r="U38" s="77"/>
      <c r="V38" s="77"/>
      <c r="W38" s="77"/>
      <c r="X38" s="77"/>
      <c r="Y38" s="77"/>
    </row>
    <row r="39" ht="15.0" customHeight="1">
      <c r="A39" s="151">
        <v>1005.0</v>
      </c>
      <c r="B39" s="152" t="s">
        <v>260</v>
      </c>
      <c r="C39" s="153">
        <v>46221.0</v>
      </c>
      <c r="D39" s="151">
        <v>7.0</v>
      </c>
      <c r="E39" s="152" t="s">
        <v>65</v>
      </c>
      <c r="F39" s="152" t="s">
        <v>225</v>
      </c>
      <c r="G39" s="152" t="s">
        <v>68</v>
      </c>
      <c r="H39" s="152" t="s">
        <v>48</v>
      </c>
      <c r="I39" s="152" t="s">
        <v>52</v>
      </c>
      <c r="J39" s="152" t="s">
        <v>52</v>
      </c>
      <c r="K39" s="152" t="s">
        <v>52</v>
      </c>
      <c r="L39" s="152" t="s">
        <v>52</v>
      </c>
      <c r="M39" s="152" t="s">
        <v>50</v>
      </c>
      <c r="N39" s="152" t="s">
        <v>52</v>
      </c>
      <c r="O39" s="152" t="s">
        <v>158</v>
      </c>
      <c r="P39" s="3"/>
      <c r="Q39" s="152" t="s">
        <v>153</v>
      </c>
      <c r="R39" s="3"/>
      <c r="S39" s="152" t="s">
        <v>93</v>
      </c>
      <c r="T39" s="154">
        <v>46204.0</v>
      </c>
      <c r="U39" s="77"/>
      <c r="V39" s="77"/>
      <c r="W39" s="77"/>
      <c r="X39" s="77"/>
      <c r="Y39" s="77"/>
    </row>
    <row r="40" ht="15.0" customHeight="1">
      <c r="A40" s="151">
        <v>1006.0</v>
      </c>
      <c r="B40" s="152" t="s">
        <v>261</v>
      </c>
      <c r="C40" s="153">
        <v>46214.0</v>
      </c>
      <c r="D40" s="151">
        <v>14.0</v>
      </c>
      <c r="E40" s="152" t="s">
        <v>65</v>
      </c>
      <c r="F40" s="152" t="s">
        <v>232</v>
      </c>
      <c r="G40" s="152" t="s">
        <v>72</v>
      </c>
      <c r="H40" s="152" t="s">
        <v>226</v>
      </c>
      <c r="I40" s="152" t="s">
        <v>50</v>
      </c>
      <c r="J40" s="152" t="s">
        <v>50</v>
      </c>
      <c r="K40" s="152" t="s">
        <v>50</v>
      </c>
      <c r="L40" s="152" t="s">
        <v>52</v>
      </c>
      <c r="M40" s="152" t="s">
        <v>52</v>
      </c>
      <c r="N40" s="152" t="s">
        <v>52</v>
      </c>
      <c r="O40" s="3"/>
      <c r="P40" s="152" t="s">
        <v>149</v>
      </c>
      <c r="Q40" s="3"/>
      <c r="R40" s="3"/>
      <c r="S40" s="152" t="s">
        <v>94</v>
      </c>
      <c r="T40" s="154">
        <v>46204.0</v>
      </c>
      <c r="U40" s="77"/>
      <c r="V40" s="77"/>
      <c r="W40" s="77"/>
      <c r="X40" s="77"/>
      <c r="Y40" s="77"/>
    </row>
    <row r="41" ht="15.0" customHeight="1">
      <c r="A41" s="151">
        <v>1007.0</v>
      </c>
      <c r="B41" s="152" t="s">
        <v>262</v>
      </c>
      <c r="C41" s="153">
        <v>46216.0</v>
      </c>
      <c r="D41" s="151">
        <v>12.0</v>
      </c>
      <c r="E41" s="152" t="s">
        <v>64</v>
      </c>
      <c r="F41" s="152" t="s">
        <v>232</v>
      </c>
      <c r="G41" s="152" t="s">
        <v>62</v>
      </c>
      <c r="H41" s="152" t="s">
        <v>48</v>
      </c>
      <c r="I41" s="152" t="s">
        <v>50</v>
      </c>
      <c r="J41" s="152" t="s">
        <v>50</v>
      </c>
      <c r="K41" s="152" t="s">
        <v>52</v>
      </c>
      <c r="L41" s="152" t="s">
        <v>52</v>
      </c>
      <c r="M41" s="152" t="s">
        <v>52</v>
      </c>
      <c r="N41" s="152" t="s">
        <v>50</v>
      </c>
      <c r="O41" s="3"/>
      <c r="P41" s="152" t="s">
        <v>119</v>
      </c>
      <c r="Q41" s="3"/>
      <c r="R41" s="3"/>
      <c r="S41" s="152" t="s">
        <v>98</v>
      </c>
      <c r="T41" s="154">
        <v>46204.0</v>
      </c>
      <c r="U41" s="77"/>
      <c r="V41" s="77"/>
      <c r="W41" s="77"/>
      <c r="X41" s="77"/>
      <c r="Y41" s="77"/>
    </row>
    <row r="42" ht="15.0" customHeight="1">
      <c r="A42" s="151">
        <v>1008.0</v>
      </c>
      <c r="B42" s="152" t="s">
        <v>263</v>
      </c>
      <c r="C42" s="153">
        <v>46215.0</v>
      </c>
      <c r="D42" s="151">
        <v>13.0</v>
      </c>
      <c r="E42" s="152" t="s">
        <v>65</v>
      </c>
      <c r="F42" s="152" t="s">
        <v>225</v>
      </c>
      <c r="G42" s="152" t="s">
        <v>74</v>
      </c>
      <c r="H42" s="152" t="s">
        <v>226</v>
      </c>
      <c r="I42" s="152" t="s">
        <v>52</v>
      </c>
      <c r="J42" s="152" t="s">
        <v>50</v>
      </c>
      <c r="K42" s="152" t="s">
        <v>52</v>
      </c>
      <c r="L42" s="152" t="s">
        <v>50</v>
      </c>
      <c r="M42" s="152" t="s">
        <v>50</v>
      </c>
      <c r="N42" s="152" t="s">
        <v>52</v>
      </c>
      <c r="O42" s="152" t="s">
        <v>158</v>
      </c>
      <c r="P42" s="3"/>
      <c r="Q42" s="3"/>
      <c r="R42" s="3"/>
      <c r="S42" s="152" t="s">
        <v>99</v>
      </c>
      <c r="T42" s="154">
        <v>46204.0</v>
      </c>
      <c r="U42" s="77"/>
      <c r="V42" s="77"/>
      <c r="W42" s="77"/>
      <c r="X42" s="77"/>
      <c r="Y42" s="77"/>
    </row>
    <row r="43" ht="15.0" customHeight="1">
      <c r="A43" s="151">
        <v>1009.0</v>
      </c>
      <c r="B43" s="152" t="s">
        <v>264</v>
      </c>
      <c r="C43" s="153">
        <v>46215.0</v>
      </c>
      <c r="D43" s="151">
        <v>13.0</v>
      </c>
      <c r="E43" s="152" t="s">
        <v>73</v>
      </c>
      <c r="F43" s="152" t="s">
        <v>222</v>
      </c>
      <c r="G43" s="152" t="s">
        <v>68</v>
      </c>
      <c r="H43" s="152" t="s">
        <v>48</v>
      </c>
      <c r="I43" s="152" t="s">
        <v>52</v>
      </c>
      <c r="J43" s="152" t="s">
        <v>50</v>
      </c>
      <c r="K43" s="152" t="s">
        <v>50</v>
      </c>
      <c r="L43" s="152" t="s">
        <v>50</v>
      </c>
      <c r="M43" s="152" t="s">
        <v>50</v>
      </c>
      <c r="N43" s="152" t="s">
        <v>50</v>
      </c>
      <c r="O43" s="152" t="s">
        <v>158</v>
      </c>
      <c r="P43" s="3"/>
      <c r="Q43" s="152" t="s">
        <v>152</v>
      </c>
      <c r="R43" s="3"/>
      <c r="S43" s="152" t="s">
        <v>101</v>
      </c>
      <c r="T43" s="154">
        <v>46204.0</v>
      </c>
      <c r="U43" s="77"/>
      <c r="V43" s="77"/>
      <c r="W43" s="77"/>
      <c r="X43" s="77"/>
      <c r="Y43" s="77"/>
    </row>
    <row r="44" ht="15.0" customHeight="1">
      <c r="A44" s="151">
        <v>1010.0</v>
      </c>
      <c r="B44" s="152" t="s">
        <v>265</v>
      </c>
      <c r="C44" s="153">
        <v>46218.0</v>
      </c>
      <c r="D44" s="151">
        <v>10.0</v>
      </c>
      <c r="E44" s="152" t="s">
        <v>73</v>
      </c>
      <c r="F44" s="152" t="s">
        <v>232</v>
      </c>
      <c r="G44" s="152" t="s">
        <v>74</v>
      </c>
      <c r="H44" s="152" t="s">
        <v>226</v>
      </c>
      <c r="I44" s="152" t="s">
        <v>52</v>
      </c>
      <c r="J44" s="152" t="s">
        <v>50</v>
      </c>
      <c r="K44" s="152" t="s">
        <v>50</v>
      </c>
      <c r="L44" s="152" t="s">
        <v>52</v>
      </c>
      <c r="M44" s="152" t="s">
        <v>52</v>
      </c>
      <c r="N44" s="152" t="s">
        <v>50</v>
      </c>
      <c r="O44" s="152" t="s">
        <v>158</v>
      </c>
      <c r="P44" s="3"/>
      <c r="Q44" s="3"/>
      <c r="R44" s="3"/>
      <c r="S44" s="152" t="s">
        <v>102</v>
      </c>
      <c r="T44" s="154">
        <v>46204.0</v>
      </c>
      <c r="U44" s="77"/>
      <c r="V44" s="77"/>
      <c r="W44" s="77"/>
      <c r="X44" s="77"/>
      <c r="Y44" s="77"/>
    </row>
    <row r="45" ht="15.0" customHeight="1">
      <c r="A45" s="151">
        <v>1011.0</v>
      </c>
      <c r="B45" s="152" t="s">
        <v>266</v>
      </c>
      <c r="C45" s="153">
        <v>46218.0</v>
      </c>
      <c r="D45" s="151">
        <v>10.0</v>
      </c>
      <c r="E45" s="152" t="s">
        <v>64</v>
      </c>
      <c r="F45" s="152" t="s">
        <v>222</v>
      </c>
      <c r="G45" s="152" t="s">
        <v>69</v>
      </c>
      <c r="H45" s="152" t="s">
        <v>226</v>
      </c>
      <c r="I45" s="152" t="s">
        <v>52</v>
      </c>
      <c r="J45" s="152" t="s">
        <v>50</v>
      </c>
      <c r="K45" s="152" t="s">
        <v>50</v>
      </c>
      <c r="L45" s="152" t="s">
        <v>52</v>
      </c>
      <c r="M45" s="152" t="s">
        <v>50</v>
      </c>
      <c r="N45" s="152" t="s">
        <v>50</v>
      </c>
      <c r="O45" s="152" t="s">
        <v>158</v>
      </c>
      <c r="P45" s="3"/>
      <c r="Q45" s="3"/>
      <c r="R45" s="3"/>
      <c r="S45" s="152" t="s">
        <v>103</v>
      </c>
      <c r="T45" s="154">
        <v>46204.0</v>
      </c>
      <c r="U45" s="77"/>
      <c r="V45" s="77"/>
      <c r="W45" s="77"/>
      <c r="X45" s="77"/>
      <c r="Y45" s="77"/>
    </row>
    <row r="46" ht="15.0" customHeight="1">
      <c r="A46" s="151">
        <v>1012.0</v>
      </c>
      <c r="B46" s="152" t="s">
        <v>267</v>
      </c>
      <c r="C46" s="153">
        <v>46222.0</v>
      </c>
      <c r="D46" s="151">
        <v>6.0</v>
      </c>
      <c r="E46" s="152" t="s">
        <v>61</v>
      </c>
      <c r="F46" s="152" t="s">
        <v>232</v>
      </c>
      <c r="G46" s="152" t="s">
        <v>62</v>
      </c>
      <c r="H46" s="152" t="s">
        <v>226</v>
      </c>
      <c r="I46" s="152" t="s">
        <v>50</v>
      </c>
      <c r="J46" s="152" t="s">
        <v>50</v>
      </c>
      <c r="K46" s="152" t="s">
        <v>52</v>
      </c>
      <c r="L46" s="152" t="s">
        <v>52</v>
      </c>
      <c r="M46" s="152" t="s">
        <v>50</v>
      </c>
      <c r="N46" s="152" t="s">
        <v>50</v>
      </c>
      <c r="O46" s="3"/>
      <c r="P46" s="152" t="s">
        <v>119</v>
      </c>
      <c r="Q46" s="3"/>
      <c r="R46" s="3"/>
      <c r="S46" s="152" t="s">
        <v>104</v>
      </c>
      <c r="T46" s="154">
        <v>46204.0</v>
      </c>
      <c r="U46" s="77"/>
      <c r="V46" s="77"/>
      <c r="W46" s="77"/>
      <c r="X46" s="77"/>
      <c r="Y46" s="77"/>
    </row>
    <row r="47" ht="15.0" customHeight="1">
      <c r="A47" s="151">
        <v>1013.0</v>
      </c>
      <c r="B47" s="152" t="s">
        <v>268</v>
      </c>
      <c r="C47" s="153">
        <v>46215.0</v>
      </c>
      <c r="D47" s="151">
        <v>13.0</v>
      </c>
      <c r="E47" s="152" t="s">
        <v>61</v>
      </c>
      <c r="F47" s="152" t="s">
        <v>225</v>
      </c>
      <c r="G47" s="152" t="s">
        <v>74</v>
      </c>
      <c r="H47" s="152" t="s">
        <v>48</v>
      </c>
      <c r="I47" s="152" t="s">
        <v>50</v>
      </c>
      <c r="J47" s="152" t="s">
        <v>50</v>
      </c>
      <c r="K47" s="152" t="s">
        <v>52</v>
      </c>
      <c r="L47" s="152" t="s">
        <v>50</v>
      </c>
      <c r="M47" s="152" t="s">
        <v>52</v>
      </c>
      <c r="N47" s="152" t="s">
        <v>52</v>
      </c>
      <c r="O47" s="3"/>
      <c r="P47" s="152" t="s">
        <v>119</v>
      </c>
      <c r="Q47" s="3"/>
      <c r="R47" s="3"/>
      <c r="S47" s="152" t="s">
        <v>105</v>
      </c>
      <c r="T47" s="154">
        <v>46204.0</v>
      </c>
      <c r="U47" s="77"/>
      <c r="V47" s="77"/>
      <c r="W47" s="77"/>
      <c r="X47" s="77"/>
      <c r="Y47" s="77"/>
    </row>
    <row r="48" ht="15.0" customHeight="1">
      <c r="A48" s="151">
        <v>1014.0</v>
      </c>
      <c r="B48" s="152" t="s">
        <v>269</v>
      </c>
      <c r="C48" s="153">
        <v>46216.0</v>
      </c>
      <c r="D48" s="151">
        <v>12.0</v>
      </c>
      <c r="E48" s="152" t="s">
        <v>64</v>
      </c>
      <c r="F48" s="152" t="s">
        <v>232</v>
      </c>
      <c r="G48" s="152" t="s">
        <v>67</v>
      </c>
      <c r="H48" s="152" t="s">
        <v>226</v>
      </c>
      <c r="I48" s="152" t="s">
        <v>52</v>
      </c>
      <c r="J48" s="152" t="s">
        <v>52</v>
      </c>
      <c r="K48" s="152" t="s">
        <v>52</v>
      </c>
      <c r="L48" s="152" t="s">
        <v>50</v>
      </c>
      <c r="M48" s="152" t="s">
        <v>50</v>
      </c>
      <c r="N48" s="152" t="s">
        <v>50</v>
      </c>
      <c r="O48" s="152" t="s">
        <v>157</v>
      </c>
      <c r="P48" s="3"/>
      <c r="Q48" s="3"/>
      <c r="R48" s="3"/>
      <c r="S48" s="152" t="s">
        <v>106</v>
      </c>
      <c r="T48" s="154">
        <v>46204.0</v>
      </c>
      <c r="U48" s="77"/>
      <c r="V48" s="77"/>
      <c r="W48" s="77"/>
      <c r="X48" s="77"/>
      <c r="Y48" s="77"/>
    </row>
    <row r="49" ht="15.0" customHeight="1">
      <c r="A49" s="151">
        <v>1015.0</v>
      </c>
      <c r="B49" s="152" t="s">
        <v>270</v>
      </c>
      <c r="C49" s="153">
        <v>46219.0</v>
      </c>
      <c r="D49" s="151">
        <v>9.0</v>
      </c>
      <c r="E49" s="152" t="s">
        <v>61</v>
      </c>
      <c r="F49" s="152" t="s">
        <v>232</v>
      </c>
      <c r="G49" s="152" t="s">
        <v>68</v>
      </c>
      <c r="H49" s="152" t="s">
        <v>226</v>
      </c>
      <c r="I49" s="152" t="s">
        <v>50</v>
      </c>
      <c r="J49" s="152" t="s">
        <v>50</v>
      </c>
      <c r="K49" s="152" t="s">
        <v>50</v>
      </c>
      <c r="L49" s="152" t="s">
        <v>50</v>
      </c>
      <c r="M49" s="152" t="s">
        <v>50</v>
      </c>
      <c r="N49" s="152" t="s">
        <v>50</v>
      </c>
      <c r="O49" s="3"/>
      <c r="P49" s="152" t="s">
        <v>119</v>
      </c>
      <c r="Q49" s="3"/>
      <c r="R49" s="3"/>
      <c r="S49" s="152" t="s">
        <v>107</v>
      </c>
      <c r="T49" s="154">
        <v>46204.0</v>
      </c>
      <c r="U49" s="77"/>
      <c r="V49" s="77"/>
      <c r="W49" s="77"/>
      <c r="X49" s="77"/>
      <c r="Y49" s="77"/>
    </row>
    <row r="50" ht="15.0" customHeight="1">
      <c r="A50" s="151">
        <v>1016.0</v>
      </c>
      <c r="B50" s="152" t="s">
        <v>271</v>
      </c>
      <c r="C50" s="153">
        <v>46219.0</v>
      </c>
      <c r="D50" s="151">
        <v>9.0</v>
      </c>
      <c r="E50" s="152" t="s">
        <v>61</v>
      </c>
      <c r="F50" s="152" t="s">
        <v>232</v>
      </c>
      <c r="G50" s="152" t="s">
        <v>68</v>
      </c>
      <c r="H50" s="152" t="s">
        <v>226</v>
      </c>
      <c r="I50" s="152" t="s">
        <v>52</v>
      </c>
      <c r="J50" s="152" t="s">
        <v>50</v>
      </c>
      <c r="K50" s="152" t="s">
        <v>50</v>
      </c>
      <c r="L50" s="152" t="s">
        <v>52</v>
      </c>
      <c r="M50" s="152" t="s">
        <v>50</v>
      </c>
      <c r="N50" s="152" t="s">
        <v>52</v>
      </c>
      <c r="O50" s="152" t="s">
        <v>158</v>
      </c>
      <c r="P50" s="3"/>
      <c r="Q50" s="3"/>
      <c r="R50" s="3"/>
      <c r="S50" s="152" t="s">
        <v>110</v>
      </c>
      <c r="T50" s="154">
        <v>46204.0</v>
      </c>
      <c r="U50" s="77"/>
      <c r="V50" s="77"/>
      <c r="W50" s="77"/>
      <c r="X50" s="77"/>
      <c r="Y50" s="77"/>
    </row>
    <row r="51" ht="15.0" customHeight="1">
      <c r="A51" s="151">
        <v>10101.0</v>
      </c>
      <c r="B51" s="152" t="s">
        <v>272</v>
      </c>
      <c r="C51" s="153">
        <v>46224.0</v>
      </c>
      <c r="D51" s="151">
        <v>5.0</v>
      </c>
      <c r="E51" s="152" t="s">
        <v>61</v>
      </c>
      <c r="F51" s="152" t="s">
        <v>273</v>
      </c>
      <c r="G51" s="152" t="s">
        <v>69</v>
      </c>
      <c r="H51" s="152" t="s">
        <v>48</v>
      </c>
      <c r="I51" s="152" t="s">
        <v>50</v>
      </c>
      <c r="J51" s="152" t="s">
        <v>50</v>
      </c>
      <c r="K51" s="152" t="s">
        <v>50</v>
      </c>
      <c r="L51" s="152" t="s">
        <v>50</v>
      </c>
      <c r="M51" s="152" t="s">
        <v>50</v>
      </c>
      <c r="N51" s="152" t="s">
        <v>52</v>
      </c>
      <c r="O51" s="152" t="s">
        <v>157</v>
      </c>
      <c r="P51" s="3"/>
      <c r="Q51" s="3"/>
      <c r="R51" s="152" t="s">
        <v>274</v>
      </c>
      <c r="S51" s="152" t="s">
        <v>60</v>
      </c>
      <c r="T51" s="154">
        <v>46227.0</v>
      </c>
      <c r="U51" s="77"/>
      <c r="V51" s="77"/>
      <c r="W51" s="77"/>
      <c r="X51" s="77"/>
      <c r="Y51" s="77"/>
    </row>
    <row r="52" ht="15.0" customHeight="1">
      <c r="A52" s="151">
        <v>1010225.0</v>
      </c>
      <c r="B52" s="152" t="s">
        <v>38</v>
      </c>
      <c r="C52" s="153">
        <v>45463.0</v>
      </c>
      <c r="D52" s="151">
        <v>766.0</v>
      </c>
      <c r="E52" s="152" t="s">
        <v>61</v>
      </c>
      <c r="F52" s="152" t="s">
        <v>275</v>
      </c>
      <c r="G52" s="152" t="s">
        <v>69</v>
      </c>
      <c r="H52" s="152" t="s">
        <v>48</v>
      </c>
      <c r="I52" s="152" t="s">
        <v>50</v>
      </c>
      <c r="J52" s="3"/>
      <c r="K52" s="3"/>
      <c r="L52" s="3"/>
      <c r="M52" s="3"/>
      <c r="N52" s="3"/>
      <c r="O52" s="3"/>
      <c r="P52" s="3"/>
      <c r="Q52" s="3"/>
      <c r="R52" s="3"/>
      <c r="S52" s="152" t="s">
        <v>60</v>
      </c>
      <c r="T52" s="154">
        <v>46204.0</v>
      </c>
      <c r="U52" s="77"/>
      <c r="V52" s="77"/>
      <c r="W52" s="77"/>
      <c r="X52" s="77"/>
      <c r="Y52" s="77"/>
    </row>
    <row r="53" ht="15.0" customHeight="1">
      <c r="A53" s="151">
        <v>1.010101E7</v>
      </c>
      <c r="B53" s="152" t="s">
        <v>38</v>
      </c>
      <c r="C53" s="153">
        <v>46224.0</v>
      </c>
      <c r="D53" s="151">
        <v>9.0</v>
      </c>
      <c r="E53" s="152" t="s">
        <v>61</v>
      </c>
      <c r="F53" s="152" t="s">
        <v>276</v>
      </c>
      <c r="G53" s="152" t="s">
        <v>69</v>
      </c>
      <c r="H53" s="152" t="s">
        <v>48</v>
      </c>
      <c r="I53" s="152" t="s">
        <v>50</v>
      </c>
      <c r="J53" s="152" t="s">
        <v>50</v>
      </c>
      <c r="K53" s="3"/>
      <c r="L53" s="3"/>
      <c r="M53" s="3"/>
      <c r="N53" s="3"/>
      <c r="O53" s="3"/>
      <c r="P53" s="3"/>
      <c r="Q53" s="3"/>
      <c r="R53" s="3"/>
      <c r="S53" s="152" t="s">
        <v>60</v>
      </c>
      <c r="T53" s="154">
        <v>45840.0</v>
      </c>
      <c r="U53" s="77"/>
      <c r="V53" s="77"/>
      <c r="W53" s="77"/>
      <c r="X53" s="77"/>
      <c r="Y53" s="77"/>
    </row>
    <row r="54" ht="15.0" customHeight="1">
      <c r="A54" s="151">
        <v>2055.0</v>
      </c>
      <c r="B54" s="152" t="s">
        <v>277</v>
      </c>
      <c r="C54" s="153">
        <v>46223.0</v>
      </c>
      <c r="D54" s="151">
        <v>10.0</v>
      </c>
      <c r="E54" s="152" t="s">
        <v>64</v>
      </c>
      <c r="F54" s="152" t="s">
        <v>278</v>
      </c>
      <c r="G54" s="152" t="s">
        <v>72</v>
      </c>
      <c r="H54" s="152" t="s">
        <v>48</v>
      </c>
      <c r="I54" s="152" t="s">
        <v>52</v>
      </c>
      <c r="J54" s="3"/>
      <c r="K54" s="3"/>
      <c r="L54" s="3"/>
      <c r="M54" s="3"/>
      <c r="N54" s="3"/>
      <c r="O54" s="3"/>
      <c r="P54" s="3"/>
      <c r="Q54" s="3"/>
      <c r="R54" s="3"/>
      <c r="S54" s="152" t="s">
        <v>71</v>
      </c>
      <c r="T54" s="154">
        <v>45840.0</v>
      </c>
      <c r="U54" s="77"/>
      <c r="V54" s="77"/>
      <c r="W54" s="77"/>
      <c r="X54" s="77"/>
      <c r="Y54" s="77"/>
    </row>
    <row r="55" ht="15.0" customHeight="1">
      <c r="A55" s="151">
        <v>101010.0</v>
      </c>
      <c r="B55" s="152" t="s">
        <v>279</v>
      </c>
      <c r="C55" s="153">
        <v>46204.0</v>
      </c>
      <c r="D55" s="151">
        <v>32.0</v>
      </c>
      <c r="E55" s="152" t="s">
        <v>73</v>
      </c>
      <c r="F55" s="152" t="s">
        <v>280</v>
      </c>
      <c r="G55" s="152" t="s">
        <v>69</v>
      </c>
      <c r="H55" s="152" t="s">
        <v>48</v>
      </c>
      <c r="I55" s="152" t="s">
        <v>52</v>
      </c>
      <c r="J55" s="152" t="s">
        <v>50</v>
      </c>
      <c r="K55" s="152" t="s">
        <v>50</v>
      </c>
      <c r="L55" s="152" t="s">
        <v>50</v>
      </c>
      <c r="M55" s="152" t="s">
        <v>50</v>
      </c>
      <c r="N55" s="152" t="s">
        <v>50</v>
      </c>
      <c r="O55" s="152" t="s">
        <v>281</v>
      </c>
      <c r="P55" s="152" t="s">
        <v>282</v>
      </c>
      <c r="Q55" s="3"/>
      <c r="R55" s="3"/>
      <c r="S55" s="152" t="s">
        <v>60</v>
      </c>
      <c r="T55" s="154">
        <v>46223.0</v>
      </c>
      <c r="U55" s="77"/>
      <c r="V55" s="77"/>
      <c r="W55" s="77"/>
      <c r="X55" s="77"/>
      <c r="Y55" s="77"/>
    </row>
    <row r="56" ht="15.0" customHeight="1">
      <c r="A56" s="151">
        <v>252589.0</v>
      </c>
      <c r="B56" s="152" t="s">
        <v>283</v>
      </c>
      <c r="C56" s="153">
        <v>46228.0</v>
      </c>
      <c r="D56" s="151">
        <v>8.0</v>
      </c>
      <c r="E56" s="152" t="s">
        <v>64</v>
      </c>
      <c r="F56" s="152" t="s">
        <v>279</v>
      </c>
      <c r="G56" s="152" t="s">
        <v>72</v>
      </c>
      <c r="H56" s="152" t="s">
        <v>48</v>
      </c>
      <c r="I56" s="152" t="s">
        <v>50</v>
      </c>
      <c r="J56" s="3"/>
      <c r="K56" s="3"/>
      <c r="L56" s="3"/>
      <c r="M56" s="3"/>
      <c r="N56" s="3"/>
      <c r="O56" s="3"/>
      <c r="P56" s="3"/>
      <c r="Q56" s="3"/>
      <c r="R56" s="3"/>
      <c r="S56" s="152" t="s">
        <v>71</v>
      </c>
      <c r="T56" s="154">
        <v>46223.0</v>
      </c>
      <c r="U56" s="77"/>
      <c r="V56" s="77"/>
      <c r="W56" s="77"/>
      <c r="X56" s="77"/>
      <c r="Y56" s="77"/>
    </row>
    <row r="57" ht="15.0" customHeight="1">
      <c r="A57" s="151">
        <v>525252.0</v>
      </c>
      <c r="B57" s="152" t="s">
        <v>284</v>
      </c>
      <c r="C57" s="153">
        <v>46229.0</v>
      </c>
      <c r="D57" s="151">
        <v>7.0</v>
      </c>
      <c r="E57" s="152" t="s">
        <v>43</v>
      </c>
      <c r="F57" s="152" t="s">
        <v>43</v>
      </c>
      <c r="G57" s="152" t="s">
        <v>69</v>
      </c>
      <c r="H57" s="152" t="s">
        <v>48</v>
      </c>
      <c r="I57" s="152" t="s">
        <v>50</v>
      </c>
      <c r="J57" s="3"/>
      <c r="K57" s="3"/>
      <c r="L57" s="3"/>
      <c r="M57" s="3"/>
      <c r="N57" s="3"/>
      <c r="O57" s="3"/>
      <c r="P57" s="3"/>
      <c r="Q57" s="3"/>
      <c r="R57" s="3"/>
      <c r="S57" s="152" t="s">
        <v>76</v>
      </c>
      <c r="T57" s="154">
        <v>46223.0</v>
      </c>
      <c r="U57" s="77"/>
      <c r="V57" s="77"/>
      <c r="W57" s="77"/>
      <c r="X57" s="77"/>
      <c r="Y57" s="77"/>
    </row>
    <row r="58" ht="15.0" customHeight="1">
      <c r="A58" s="151">
        <v>235885.0</v>
      </c>
      <c r="B58" s="152" t="s">
        <v>285</v>
      </c>
      <c r="C58" s="153">
        <v>45889.0</v>
      </c>
      <c r="D58" s="151">
        <v>347.0</v>
      </c>
      <c r="E58" s="152" t="s">
        <v>43</v>
      </c>
      <c r="F58" s="3"/>
      <c r="G58" s="152" t="s">
        <v>67</v>
      </c>
      <c r="H58" s="152" t="s">
        <v>48</v>
      </c>
      <c r="I58" s="152" t="s">
        <v>52</v>
      </c>
      <c r="J58" s="152" t="s">
        <v>52</v>
      </c>
      <c r="K58" s="3"/>
      <c r="L58" s="3"/>
      <c r="M58" s="3"/>
      <c r="N58" s="3"/>
      <c r="O58" s="3"/>
      <c r="P58" s="3"/>
      <c r="Q58" s="3"/>
      <c r="R58" s="3"/>
      <c r="S58" s="152" t="s">
        <v>101</v>
      </c>
      <c r="T58" s="154">
        <v>46223.0</v>
      </c>
      <c r="U58" s="77"/>
      <c r="V58" s="77"/>
      <c r="W58" s="77"/>
      <c r="X58" s="77"/>
      <c r="Y58" s="77"/>
    </row>
    <row r="59" ht="15.0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52" t="s">
        <v>99</v>
      </c>
      <c r="T59" s="154">
        <v>46204.0</v>
      </c>
      <c r="U59" s="77"/>
      <c r="V59" s="77"/>
      <c r="W59" s="77"/>
      <c r="X59" s="77"/>
      <c r="Y59" s="77"/>
    </row>
    <row r="60" ht="15.0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52" t="s">
        <v>101</v>
      </c>
      <c r="T60" s="154">
        <v>46204.0</v>
      </c>
      <c r="U60" s="77"/>
      <c r="V60" s="77"/>
      <c r="W60" s="77"/>
      <c r="X60" s="77"/>
      <c r="Y60" s="77"/>
    </row>
    <row r="61" ht="15.0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52" t="s">
        <v>102</v>
      </c>
      <c r="T61" s="154">
        <v>46204.0</v>
      </c>
      <c r="U61" s="77"/>
      <c r="V61" s="77"/>
      <c r="W61" s="77"/>
      <c r="X61" s="77"/>
      <c r="Y61" s="77"/>
    </row>
    <row r="62" ht="15.0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52" t="s">
        <v>103</v>
      </c>
      <c r="T62" s="154">
        <v>46204.0</v>
      </c>
      <c r="U62" s="77"/>
      <c r="V62" s="77"/>
      <c r="W62" s="77"/>
      <c r="X62" s="77"/>
      <c r="Y62" s="77"/>
    </row>
    <row r="63" ht="15.0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52" t="s">
        <v>104</v>
      </c>
      <c r="T63" s="154">
        <v>46204.0</v>
      </c>
      <c r="U63" s="77"/>
      <c r="V63" s="77"/>
      <c r="W63" s="77"/>
      <c r="X63" s="77"/>
      <c r="Y63" s="77"/>
    </row>
    <row r="64" ht="15.0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52" t="s">
        <v>105</v>
      </c>
      <c r="T64" s="154">
        <v>46204.0</v>
      </c>
      <c r="U64" s="77"/>
      <c r="V64" s="77"/>
      <c r="W64" s="77"/>
      <c r="X64" s="77"/>
      <c r="Y64" s="77"/>
    </row>
    <row r="65" ht="15.0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52" t="s">
        <v>106</v>
      </c>
      <c r="T65" s="154">
        <v>46204.0</v>
      </c>
      <c r="U65" s="77"/>
      <c r="V65" s="77"/>
      <c r="W65" s="77"/>
      <c r="X65" s="77"/>
      <c r="Y65" s="77"/>
    </row>
    <row r="66" ht="15.0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52" t="s">
        <v>107</v>
      </c>
      <c r="T66" s="154">
        <v>46204.0</v>
      </c>
      <c r="U66" s="77"/>
      <c r="V66" s="77"/>
      <c r="W66" s="77"/>
      <c r="X66" s="77"/>
      <c r="Y66" s="77"/>
    </row>
    <row r="67" ht="15.0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52" t="s">
        <v>110</v>
      </c>
      <c r="T67" s="154">
        <v>46204.0</v>
      </c>
      <c r="U67" s="77"/>
      <c r="V67" s="77"/>
      <c r="W67" s="77"/>
      <c r="X67" s="77"/>
      <c r="Y67" s="77"/>
    </row>
    <row r="68" ht="15.0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77"/>
      <c r="V68" s="77"/>
      <c r="W68" s="77"/>
      <c r="X68" s="77"/>
      <c r="Y68" s="77"/>
    </row>
    <row r="69" ht="15.0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77"/>
      <c r="V69" s="77"/>
      <c r="W69" s="77"/>
      <c r="X69" s="77"/>
      <c r="Y69" s="77"/>
    </row>
    <row r="70" ht="15.0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77"/>
      <c r="V70" s="77"/>
      <c r="W70" s="77"/>
      <c r="X70" s="77"/>
      <c r="Y70" s="77"/>
    </row>
    <row r="71" ht="15.0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77"/>
      <c r="V71" s="77"/>
      <c r="W71" s="77"/>
      <c r="X71" s="77"/>
      <c r="Y71" s="77"/>
    </row>
    <row r="72" ht="15.0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77"/>
      <c r="V72" s="77"/>
      <c r="W72" s="77"/>
      <c r="X72" s="77"/>
      <c r="Y72" s="77"/>
    </row>
    <row r="73" ht="15.0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77"/>
      <c r="V73" s="77"/>
      <c r="W73" s="77"/>
      <c r="X73" s="77"/>
      <c r="Y73" s="77"/>
    </row>
    <row r="74" ht="15.0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77"/>
      <c r="V74" s="77"/>
      <c r="W74" s="77"/>
      <c r="X74" s="77"/>
      <c r="Y74" s="77"/>
    </row>
    <row r="75" ht="15.0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77"/>
      <c r="V75" s="77"/>
      <c r="W75" s="77"/>
      <c r="X75" s="77"/>
      <c r="Y75" s="77"/>
    </row>
    <row r="76" ht="15.0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77"/>
      <c r="V76" s="77"/>
      <c r="W76" s="77"/>
      <c r="X76" s="77"/>
      <c r="Y76" s="77"/>
    </row>
    <row r="77" ht="15.0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77"/>
      <c r="V77" s="77"/>
      <c r="W77" s="77"/>
      <c r="X77" s="77"/>
      <c r="Y77" s="77"/>
    </row>
    <row r="78" ht="15.0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77"/>
      <c r="V78" s="77"/>
      <c r="W78" s="77"/>
      <c r="X78" s="77"/>
      <c r="Y78" s="77"/>
    </row>
    <row r="79" ht="15.0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77"/>
      <c r="V79" s="77"/>
      <c r="W79" s="77"/>
      <c r="X79" s="77"/>
      <c r="Y79" s="77"/>
    </row>
    <row r="80" ht="15.0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77"/>
      <c r="V80" s="77"/>
      <c r="W80" s="77"/>
      <c r="X80" s="77"/>
      <c r="Y80" s="77"/>
    </row>
    <row r="81" ht="15.0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77"/>
      <c r="V81" s="77"/>
      <c r="W81" s="77"/>
      <c r="X81" s="77"/>
      <c r="Y81" s="77"/>
    </row>
    <row r="82" ht="15.0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77"/>
      <c r="V82" s="77"/>
      <c r="W82" s="77"/>
      <c r="X82" s="77"/>
      <c r="Y82" s="77"/>
    </row>
    <row r="83" ht="15.0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77"/>
      <c r="V83" s="77"/>
      <c r="W83" s="77"/>
      <c r="X83" s="77"/>
      <c r="Y83" s="77"/>
    </row>
    <row r="84" ht="15.0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77"/>
      <c r="V84" s="77"/>
      <c r="W84" s="77"/>
      <c r="X84" s="77"/>
      <c r="Y84" s="77"/>
    </row>
    <row r="85" ht="15.0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77"/>
      <c r="V85" s="77"/>
      <c r="W85" s="77"/>
      <c r="X85" s="77"/>
      <c r="Y85" s="77"/>
    </row>
    <row r="86" ht="15.0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77"/>
      <c r="V86" s="77"/>
      <c r="W86" s="77"/>
      <c r="X86" s="77"/>
      <c r="Y86" s="77"/>
    </row>
    <row r="87" ht="15.0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77"/>
      <c r="V87" s="77"/>
      <c r="W87" s="77"/>
      <c r="X87" s="77"/>
      <c r="Y87" s="77"/>
    </row>
    <row r="88" ht="15.0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77"/>
      <c r="V88" s="77"/>
      <c r="W88" s="77"/>
      <c r="X88" s="77"/>
      <c r="Y88" s="77"/>
    </row>
    <row r="89" ht="15.0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77"/>
      <c r="V89" s="77"/>
      <c r="W89" s="77"/>
      <c r="X89" s="77"/>
      <c r="Y89" s="77"/>
    </row>
    <row r="90" ht="15.0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77"/>
      <c r="V90" s="77"/>
      <c r="W90" s="77"/>
      <c r="X90" s="77"/>
      <c r="Y90" s="77"/>
    </row>
    <row r="91" ht="15.0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77"/>
      <c r="V91" s="77"/>
      <c r="W91" s="77"/>
      <c r="X91" s="77"/>
      <c r="Y91" s="77"/>
    </row>
    <row r="92" ht="15.0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77"/>
      <c r="V92" s="77"/>
      <c r="W92" s="77"/>
      <c r="X92" s="77"/>
      <c r="Y92" s="77"/>
    </row>
    <row r="93" ht="15.0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77"/>
      <c r="V93" s="77"/>
      <c r="W93" s="77"/>
      <c r="X93" s="77"/>
      <c r="Y93" s="77"/>
    </row>
    <row r="94" ht="15.0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77"/>
      <c r="V94" s="77"/>
      <c r="W94" s="77"/>
      <c r="X94" s="77"/>
      <c r="Y94" s="77"/>
    </row>
    <row r="95" ht="15.0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77"/>
      <c r="V95" s="77"/>
      <c r="W95" s="77"/>
      <c r="X95" s="77"/>
      <c r="Y95" s="77"/>
    </row>
    <row r="96" ht="15.0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77"/>
      <c r="V96" s="77"/>
      <c r="W96" s="77"/>
      <c r="X96" s="77"/>
      <c r="Y96" s="77"/>
    </row>
    <row r="97" ht="15.0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77"/>
      <c r="V97" s="77"/>
      <c r="W97" s="77"/>
      <c r="X97" s="77"/>
      <c r="Y97" s="77"/>
    </row>
    <row r="98" ht="15.0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77"/>
      <c r="V98" s="77"/>
      <c r="W98" s="77"/>
      <c r="X98" s="77"/>
      <c r="Y98" s="77"/>
    </row>
    <row r="99" ht="15.0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77"/>
      <c r="V99" s="77"/>
      <c r="W99" s="77"/>
      <c r="X99" s="77"/>
      <c r="Y99" s="77"/>
    </row>
    <row r="100" ht="15.0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77"/>
      <c r="V100" s="77"/>
      <c r="W100" s="77"/>
      <c r="X100" s="77"/>
      <c r="Y100" s="77"/>
    </row>
    <row r="101" ht="15.0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77"/>
      <c r="V101" s="77"/>
      <c r="W101" s="77"/>
      <c r="X101" s="77"/>
      <c r="Y101" s="77"/>
    </row>
    <row r="102" ht="15.0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77"/>
      <c r="V102" s="77"/>
      <c r="W102" s="77"/>
      <c r="X102" s="77"/>
      <c r="Y102" s="77"/>
    </row>
    <row r="103" ht="15.0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77"/>
      <c r="V103" s="77"/>
      <c r="W103" s="77"/>
      <c r="X103" s="77"/>
      <c r="Y103" s="77"/>
    </row>
    <row r="104" ht="15.0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77"/>
      <c r="V104" s="77"/>
      <c r="W104" s="77"/>
      <c r="X104" s="77"/>
      <c r="Y104" s="77"/>
    </row>
    <row r="105" ht="15.0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77"/>
      <c r="V105" s="77"/>
      <c r="W105" s="77"/>
      <c r="X105" s="77"/>
      <c r="Y105" s="77"/>
    </row>
    <row r="106" ht="15.0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77"/>
      <c r="V106" s="77"/>
      <c r="W106" s="77"/>
      <c r="X106" s="77"/>
      <c r="Y106" s="77"/>
    </row>
    <row r="107" ht="15.0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77"/>
      <c r="V107" s="77"/>
      <c r="W107" s="77"/>
      <c r="X107" s="77"/>
      <c r="Y107" s="77"/>
    </row>
    <row r="108" ht="15.0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77"/>
      <c r="V108" s="77"/>
      <c r="W108" s="77"/>
      <c r="X108" s="77"/>
      <c r="Y108" s="77"/>
    </row>
    <row r="109" ht="15.0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77"/>
      <c r="V109" s="77"/>
      <c r="W109" s="77"/>
      <c r="X109" s="77"/>
      <c r="Y109" s="77"/>
    </row>
    <row r="110" ht="15.0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77"/>
      <c r="V110" s="77"/>
      <c r="W110" s="77"/>
      <c r="X110" s="77"/>
      <c r="Y110" s="77"/>
    </row>
    <row r="111" ht="15.0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77"/>
      <c r="V111" s="77"/>
      <c r="W111" s="77"/>
      <c r="X111" s="77"/>
      <c r="Y111" s="77"/>
    </row>
    <row r="112" ht="15.0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77"/>
      <c r="V112" s="77"/>
      <c r="W112" s="77"/>
      <c r="X112" s="77"/>
      <c r="Y112" s="77"/>
    </row>
    <row r="113" ht="15.0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77"/>
      <c r="V113" s="77"/>
      <c r="W113" s="77"/>
      <c r="X113" s="77"/>
      <c r="Y113" s="77"/>
    </row>
    <row r="114" ht="15.0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77"/>
      <c r="V114" s="77"/>
      <c r="W114" s="77"/>
      <c r="X114" s="77"/>
      <c r="Y114" s="77"/>
    </row>
    <row r="115" ht="15.0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77"/>
      <c r="V115" s="77"/>
      <c r="W115" s="77"/>
      <c r="X115" s="77"/>
      <c r="Y115" s="77"/>
    </row>
    <row r="116" ht="15.0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77"/>
      <c r="V116" s="77"/>
      <c r="W116" s="77"/>
      <c r="X116" s="77"/>
      <c r="Y116" s="77"/>
    </row>
    <row r="117" ht="15.0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77"/>
      <c r="V117" s="77"/>
      <c r="W117" s="77"/>
      <c r="X117" s="77"/>
      <c r="Y117" s="77"/>
    </row>
    <row r="118" ht="15.0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77"/>
      <c r="V118" s="77"/>
      <c r="W118" s="77"/>
      <c r="X118" s="77"/>
      <c r="Y118" s="77"/>
    </row>
    <row r="119" ht="15.0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77"/>
      <c r="V119" s="77"/>
      <c r="W119" s="77"/>
      <c r="X119" s="77"/>
      <c r="Y119" s="77"/>
    </row>
    <row r="120" ht="15.0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77"/>
      <c r="V120" s="77"/>
      <c r="W120" s="77"/>
      <c r="X120" s="77"/>
      <c r="Y120" s="77"/>
    </row>
    <row r="121" ht="15.0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77"/>
      <c r="V121" s="77"/>
      <c r="W121" s="77"/>
      <c r="X121" s="77"/>
      <c r="Y121" s="77"/>
    </row>
    <row r="122" ht="15.0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77"/>
      <c r="V122" s="77"/>
      <c r="W122" s="77"/>
      <c r="X122" s="77"/>
      <c r="Y122" s="77"/>
    </row>
    <row r="123" ht="15.0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77"/>
      <c r="V123" s="77"/>
      <c r="W123" s="77"/>
      <c r="X123" s="77"/>
      <c r="Y123" s="77"/>
    </row>
    <row r="124" ht="15.0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77"/>
      <c r="V124" s="77"/>
      <c r="W124" s="77"/>
      <c r="X124" s="77"/>
      <c r="Y124" s="77"/>
    </row>
    <row r="125" ht="15.0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77"/>
      <c r="V125" s="77"/>
      <c r="W125" s="77"/>
      <c r="X125" s="77"/>
      <c r="Y125" s="77"/>
    </row>
    <row r="126" ht="15.0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77"/>
      <c r="V126" s="77"/>
      <c r="W126" s="77"/>
      <c r="X126" s="77"/>
      <c r="Y126" s="77"/>
    </row>
    <row r="127" ht="15.0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77"/>
      <c r="V127" s="77"/>
      <c r="W127" s="77"/>
      <c r="X127" s="77"/>
      <c r="Y127" s="77"/>
    </row>
    <row r="128" ht="15.0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77"/>
      <c r="V128" s="77"/>
      <c r="W128" s="77"/>
      <c r="X128" s="77"/>
      <c r="Y128" s="77"/>
    </row>
    <row r="129" ht="15.0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77"/>
      <c r="V129" s="77"/>
      <c r="W129" s="77"/>
      <c r="X129" s="77"/>
      <c r="Y129" s="77"/>
    </row>
    <row r="130" ht="15.0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77"/>
      <c r="V130" s="77"/>
      <c r="W130" s="77"/>
      <c r="X130" s="77"/>
      <c r="Y130" s="77"/>
    </row>
    <row r="131" ht="15.0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77"/>
      <c r="V131" s="77"/>
      <c r="W131" s="77"/>
      <c r="X131" s="77"/>
      <c r="Y131" s="77"/>
    </row>
    <row r="132" ht="15.0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77"/>
      <c r="V132" s="77"/>
      <c r="W132" s="77"/>
      <c r="X132" s="77"/>
      <c r="Y132" s="77"/>
    </row>
    <row r="133" ht="15.0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77"/>
      <c r="V133" s="77"/>
      <c r="W133" s="77"/>
      <c r="X133" s="77"/>
      <c r="Y133" s="77"/>
    </row>
    <row r="134" ht="15.0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77"/>
      <c r="V134" s="77"/>
      <c r="W134" s="77"/>
      <c r="X134" s="77"/>
      <c r="Y134" s="77"/>
    </row>
    <row r="135" ht="15.0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77"/>
      <c r="V135" s="77"/>
      <c r="W135" s="77"/>
      <c r="X135" s="77"/>
      <c r="Y135" s="77"/>
    </row>
    <row r="136" ht="15.0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77"/>
      <c r="V136" s="77"/>
      <c r="W136" s="77"/>
      <c r="X136" s="77"/>
      <c r="Y136" s="77"/>
    </row>
    <row r="137" ht="15.0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77"/>
      <c r="V137" s="77"/>
      <c r="W137" s="77"/>
      <c r="X137" s="77"/>
      <c r="Y137" s="77"/>
    </row>
    <row r="138" ht="15.0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77"/>
      <c r="V138" s="77"/>
      <c r="W138" s="77"/>
      <c r="X138" s="77"/>
      <c r="Y138" s="77"/>
    </row>
    <row r="139" ht="15.0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77"/>
      <c r="V139" s="77"/>
      <c r="W139" s="77"/>
      <c r="X139" s="77"/>
      <c r="Y139" s="77"/>
    </row>
    <row r="140" ht="15.0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77"/>
      <c r="V140" s="77"/>
      <c r="W140" s="77"/>
      <c r="X140" s="77"/>
      <c r="Y140" s="77"/>
    </row>
    <row r="141" ht="15.0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77"/>
      <c r="V141" s="77"/>
      <c r="W141" s="77"/>
      <c r="X141" s="77"/>
      <c r="Y141" s="77"/>
    </row>
    <row r="142" ht="15.0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77"/>
      <c r="V142" s="77"/>
      <c r="W142" s="77"/>
      <c r="X142" s="77"/>
      <c r="Y142" s="77"/>
    </row>
    <row r="143" ht="15.0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77"/>
      <c r="V143" s="77"/>
      <c r="W143" s="77"/>
      <c r="X143" s="77"/>
      <c r="Y143" s="77"/>
    </row>
    <row r="144" ht="15.0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77"/>
      <c r="V144" s="77"/>
      <c r="W144" s="77"/>
      <c r="X144" s="77"/>
      <c r="Y144" s="77"/>
    </row>
    <row r="145" ht="15.0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77"/>
      <c r="V145" s="77"/>
      <c r="W145" s="77"/>
      <c r="X145" s="77"/>
      <c r="Y145" s="77"/>
    </row>
    <row r="146" ht="15.0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77"/>
      <c r="V146" s="77"/>
      <c r="W146" s="77"/>
      <c r="X146" s="77"/>
      <c r="Y146" s="77"/>
    </row>
    <row r="147" ht="15.0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77"/>
      <c r="V147" s="77"/>
      <c r="W147" s="77"/>
      <c r="X147" s="77"/>
      <c r="Y147" s="77"/>
    </row>
    <row r="148" ht="15.0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77"/>
      <c r="V148" s="77"/>
      <c r="W148" s="77"/>
      <c r="X148" s="77"/>
      <c r="Y148" s="77"/>
    </row>
    <row r="149" ht="15.0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77"/>
      <c r="V149" s="77"/>
      <c r="W149" s="77"/>
      <c r="X149" s="77"/>
      <c r="Y149" s="77"/>
    </row>
    <row r="150" ht="15.0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77"/>
      <c r="V150" s="77"/>
      <c r="W150" s="77"/>
      <c r="X150" s="77"/>
      <c r="Y150" s="77"/>
    </row>
    <row r="151" ht="15.0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77"/>
      <c r="V151" s="77"/>
      <c r="W151" s="77"/>
      <c r="X151" s="77"/>
      <c r="Y151" s="77"/>
    </row>
    <row r="152" ht="15.0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77"/>
      <c r="V152" s="77"/>
      <c r="W152" s="77"/>
      <c r="X152" s="77"/>
      <c r="Y152" s="77"/>
    </row>
    <row r="153" ht="15.0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77"/>
      <c r="V153" s="77"/>
      <c r="W153" s="77"/>
      <c r="X153" s="77"/>
      <c r="Y153" s="77"/>
    </row>
    <row r="154" ht="15.0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77"/>
      <c r="V154" s="77"/>
      <c r="W154" s="77"/>
      <c r="X154" s="77"/>
      <c r="Y154" s="77"/>
    </row>
    <row r="155" ht="15.0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77"/>
      <c r="V155" s="77"/>
      <c r="W155" s="77"/>
      <c r="X155" s="77"/>
      <c r="Y155" s="77"/>
    </row>
    <row r="156" ht="15.0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77"/>
      <c r="V156" s="77"/>
      <c r="W156" s="77"/>
      <c r="X156" s="77"/>
      <c r="Y156" s="77"/>
    </row>
    <row r="157" ht="15.0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77"/>
      <c r="V157" s="77"/>
      <c r="W157" s="77"/>
      <c r="X157" s="77"/>
      <c r="Y157" s="77"/>
    </row>
    <row r="158" ht="15.0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77"/>
      <c r="V158" s="77"/>
      <c r="W158" s="77"/>
      <c r="X158" s="77"/>
      <c r="Y158" s="77"/>
    </row>
    <row r="159" ht="15.0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77"/>
      <c r="V159" s="77"/>
      <c r="W159" s="77"/>
      <c r="X159" s="77"/>
      <c r="Y159" s="77"/>
    </row>
    <row r="160" ht="15.0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77"/>
      <c r="V160" s="77"/>
      <c r="W160" s="77"/>
      <c r="X160" s="77"/>
      <c r="Y160" s="77"/>
    </row>
    <row r="161" ht="15.0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77"/>
      <c r="V161" s="77"/>
      <c r="W161" s="77"/>
      <c r="X161" s="77"/>
      <c r="Y161" s="77"/>
    </row>
    <row r="162" ht="15.0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77"/>
      <c r="V162" s="77"/>
      <c r="W162" s="77"/>
      <c r="X162" s="77"/>
      <c r="Y162" s="77"/>
    </row>
    <row r="163" ht="15.0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77"/>
      <c r="V163" s="77"/>
      <c r="W163" s="77"/>
      <c r="X163" s="77"/>
      <c r="Y163" s="77"/>
    </row>
    <row r="164" ht="15.0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77"/>
      <c r="V164" s="77"/>
      <c r="W164" s="77"/>
      <c r="X164" s="77"/>
      <c r="Y164" s="77"/>
    </row>
    <row r="165" ht="15.0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77"/>
      <c r="V165" s="77"/>
      <c r="W165" s="77"/>
      <c r="X165" s="77"/>
      <c r="Y165" s="77"/>
    </row>
    <row r="166" ht="15.0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77"/>
      <c r="V166" s="77"/>
      <c r="W166" s="77"/>
      <c r="X166" s="77"/>
      <c r="Y166" s="77"/>
    </row>
    <row r="167" ht="15.0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77"/>
      <c r="V167" s="77"/>
      <c r="W167" s="77"/>
      <c r="X167" s="77"/>
      <c r="Y167" s="77"/>
    </row>
    <row r="168" ht="15.0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77"/>
      <c r="V168" s="77"/>
      <c r="W168" s="77"/>
      <c r="X168" s="77"/>
      <c r="Y168" s="77"/>
    </row>
    <row r="169" ht="15.0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77"/>
      <c r="V169" s="77"/>
      <c r="W169" s="77"/>
      <c r="X169" s="77"/>
      <c r="Y169" s="77"/>
    </row>
    <row r="170" ht="15.0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77"/>
      <c r="V170" s="77"/>
      <c r="W170" s="77"/>
      <c r="X170" s="77"/>
      <c r="Y170" s="77"/>
    </row>
    <row r="171" ht="15.0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77"/>
      <c r="V171" s="77"/>
      <c r="W171" s="77"/>
      <c r="X171" s="77"/>
      <c r="Y171" s="77"/>
    </row>
    <row r="172" ht="15.0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77"/>
      <c r="V172" s="77"/>
      <c r="W172" s="77"/>
      <c r="X172" s="77"/>
      <c r="Y172" s="77"/>
    </row>
    <row r="173" ht="15.0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77"/>
      <c r="V173" s="77"/>
      <c r="W173" s="77"/>
      <c r="X173" s="77"/>
      <c r="Y173" s="77"/>
    </row>
    <row r="174" ht="15.0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77"/>
      <c r="V174" s="77"/>
      <c r="W174" s="77"/>
      <c r="X174" s="77"/>
      <c r="Y174" s="77"/>
    </row>
    <row r="175" ht="15.0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77"/>
      <c r="V175" s="77"/>
      <c r="W175" s="77"/>
      <c r="X175" s="77"/>
      <c r="Y175" s="77"/>
    </row>
    <row r="176" ht="15.0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77"/>
      <c r="V176" s="77"/>
      <c r="W176" s="77"/>
      <c r="X176" s="77"/>
      <c r="Y176" s="77"/>
    </row>
    <row r="177" ht="15.0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77"/>
      <c r="V177" s="77"/>
      <c r="W177" s="77"/>
      <c r="X177" s="77"/>
      <c r="Y177" s="77"/>
    </row>
    <row r="178" ht="15.0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77"/>
      <c r="V178" s="77"/>
      <c r="W178" s="77"/>
      <c r="X178" s="77"/>
      <c r="Y178" s="77"/>
    </row>
    <row r="179" ht="15.0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77"/>
      <c r="V179" s="77"/>
      <c r="W179" s="77"/>
      <c r="X179" s="77"/>
      <c r="Y179" s="77"/>
    </row>
    <row r="180" ht="15.0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77"/>
      <c r="V180" s="77"/>
      <c r="W180" s="77"/>
      <c r="X180" s="77"/>
      <c r="Y180" s="77"/>
    </row>
    <row r="181" ht="15.0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77"/>
      <c r="V181" s="77"/>
      <c r="W181" s="77"/>
      <c r="X181" s="77"/>
      <c r="Y181" s="77"/>
    </row>
    <row r="182" ht="15.0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77"/>
      <c r="V182" s="77"/>
      <c r="W182" s="77"/>
      <c r="X182" s="77"/>
      <c r="Y182" s="77"/>
    </row>
    <row r="183" ht="15.0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77"/>
      <c r="V183" s="77"/>
      <c r="W183" s="77"/>
      <c r="X183" s="77"/>
      <c r="Y183" s="77"/>
    </row>
    <row r="184" ht="15.0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77"/>
      <c r="V184" s="77"/>
      <c r="W184" s="77"/>
      <c r="X184" s="77"/>
      <c r="Y184" s="77"/>
    </row>
    <row r="185" ht="15.0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77"/>
      <c r="V185" s="77"/>
      <c r="W185" s="77"/>
      <c r="X185" s="77"/>
      <c r="Y185" s="77"/>
    </row>
    <row r="186" ht="15.0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77"/>
      <c r="V186" s="77"/>
      <c r="W186" s="77"/>
      <c r="X186" s="77"/>
      <c r="Y186" s="77"/>
    </row>
    <row r="187" ht="15.0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77"/>
      <c r="V187" s="77"/>
      <c r="W187" s="77"/>
      <c r="X187" s="77"/>
      <c r="Y187" s="77"/>
    </row>
    <row r="188" ht="15.0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77"/>
      <c r="V188" s="77"/>
      <c r="W188" s="77"/>
      <c r="X188" s="77"/>
      <c r="Y188" s="77"/>
    </row>
    <row r="189" ht="15.0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77"/>
      <c r="V189" s="77"/>
      <c r="W189" s="77"/>
      <c r="X189" s="77"/>
      <c r="Y189" s="77"/>
    </row>
    <row r="190" ht="15.0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77"/>
      <c r="V190" s="77"/>
      <c r="W190" s="77"/>
      <c r="X190" s="77"/>
      <c r="Y190" s="77"/>
    </row>
    <row r="191" ht="15.0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77"/>
      <c r="V191" s="77"/>
      <c r="W191" s="77"/>
      <c r="X191" s="77"/>
      <c r="Y191" s="77"/>
    </row>
    <row r="192" ht="15.0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77"/>
      <c r="V192" s="77"/>
      <c r="W192" s="77"/>
      <c r="X192" s="77"/>
      <c r="Y192" s="77"/>
    </row>
    <row r="193" ht="15.0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77"/>
      <c r="V193" s="77"/>
      <c r="W193" s="77"/>
      <c r="X193" s="77"/>
      <c r="Y193" s="77"/>
    </row>
    <row r="194" ht="15.0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77"/>
      <c r="V194" s="77"/>
      <c r="W194" s="77"/>
      <c r="X194" s="77"/>
      <c r="Y194" s="77"/>
    </row>
    <row r="195" ht="15.0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77"/>
      <c r="V195" s="77"/>
      <c r="W195" s="77"/>
      <c r="X195" s="77"/>
      <c r="Y195" s="77"/>
    </row>
    <row r="196" ht="15.0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77"/>
      <c r="V196" s="77"/>
      <c r="W196" s="77"/>
      <c r="X196" s="77"/>
      <c r="Y196" s="77"/>
    </row>
    <row r="197" ht="15.0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77"/>
      <c r="V197" s="77"/>
      <c r="W197" s="77"/>
      <c r="X197" s="77"/>
      <c r="Y197" s="77"/>
    </row>
    <row r="198" ht="15.0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77"/>
      <c r="V198" s="77"/>
      <c r="W198" s="77"/>
      <c r="X198" s="77"/>
      <c r="Y198" s="77"/>
    </row>
    <row r="199" ht="15.0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77"/>
      <c r="V199" s="77"/>
      <c r="W199" s="77"/>
      <c r="X199" s="77"/>
      <c r="Y199" s="77"/>
    </row>
    <row r="200" ht="15.0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77"/>
      <c r="V200" s="77"/>
      <c r="W200" s="77"/>
      <c r="X200" s="77"/>
      <c r="Y200" s="77"/>
    </row>
    <row r="201" ht="15.0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77"/>
      <c r="V201" s="77"/>
      <c r="W201" s="77"/>
      <c r="X201" s="77"/>
      <c r="Y201" s="77"/>
    </row>
    <row r="202" ht="15.0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77"/>
      <c r="V202" s="77"/>
      <c r="W202" s="77"/>
      <c r="X202" s="77"/>
      <c r="Y202" s="77"/>
    </row>
    <row r="203" ht="15.0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77"/>
      <c r="V203" s="77"/>
      <c r="W203" s="77"/>
      <c r="X203" s="77"/>
      <c r="Y203" s="77"/>
    </row>
    <row r="204" ht="15.0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77"/>
      <c r="V204" s="77"/>
      <c r="W204" s="77"/>
      <c r="X204" s="77"/>
      <c r="Y204" s="77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mergeCells count="2">
    <mergeCell ref="A1:T1"/>
    <mergeCell ref="A2:T2"/>
  </mergeCells>
  <conditionalFormatting sqref="U5:U204">
    <cfRule type="cellIs" dxfId="1" priority="1" operator="equal">
      <formula>"✓"</formula>
    </cfRule>
  </conditionalFormatting>
  <conditionalFormatting sqref="U5:U204">
    <cfRule type="cellIs" dxfId="2" priority="2" operator="equal">
      <formula>"✗"</formula>
    </cfRule>
  </conditionalFormatting>
  <conditionalFormatting sqref="V5:V204">
    <cfRule type="cellIs" dxfId="1" priority="3" operator="equal">
      <formula>"✓"</formula>
    </cfRule>
  </conditionalFormatting>
  <conditionalFormatting sqref="V5:V204">
    <cfRule type="cellIs" dxfId="2" priority="4" operator="equal">
      <formula>"✗"</formula>
    </cfRule>
  </conditionalFormatting>
  <conditionalFormatting sqref="W5:W204">
    <cfRule type="cellIs" dxfId="1" priority="5" operator="equal">
      <formula>"✓"</formula>
    </cfRule>
  </conditionalFormatting>
  <conditionalFormatting sqref="W5:W204">
    <cfRule type="cellIs" dxfId="2" priority="6" operator="equal">
      <formula>"✗"</formula>
    </cfRule>
  </conditionalFormatting>
  <conditionalFormatting sqref="X5:X204">
    <cfRule type="cellIs" dxfId="1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2" priority="10" operator="equal">
      <formula>"✗"</formula>
    </cfRule>
  </conditionalFormatting>
  <dataValidations>
    <dataValidation type="list" allowBlank="1" sqref="U5:Y204">
      <formula1>"✓,✗"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Col="1"/>
  <cols>
    <col customWidth="1" min="1" max="1" width="24.0"/>
    <col customWidth="1" min="2" max="2" width="18.0"/>
    <col customWidth="1" min="3" max="4" width="13.0"/>
    <col customWidth="1" min="5" max="5" width="9.0"/>
    <col customWidth="1" min="6" max="6" width="13.0"/>
    <col customWidth="1" min="7" max="7" width="15.0"/>
    <col customWidth="1" min="8" max="17" width="13.0"/>
    <col customWidth="1" min="18" max="18" width="30.0"/>
    <col customWidth="1" min="19" max="19" width="10.0"/>
    <col customWidth="1" min="20" max="20" width="13.0"/>
    <col customWidth="1" min="21" max="21" width="12.0"/>
    <col customWidth="1" min="22" max="25" width="13.0"/>
    <col customWidth="1" min="26" max="26" width="8.71"/>
  </cols>
  <sheetData>
    <row r="1" ht="19.5" customHeight="1">
      <c r="A1" s="149" t="s">
        <v>286</v>
      </c>
    </row>
    <row r="2" ht="15.0" customHeight="1">
      <c r="A2" s="5" t="s">
        <v>287</v>
      </c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39.0" customHeight="1">
      <c r="A4" s="10" t="s">
        <v>5</v>
      </c>
      <c r="B4" s="10" t="s">
        <v>16</v>
      </c>
      <c r="C4" s="10" t="s">
        <v>18</v>
      </c>
      <c r="D4" s="10" t="s">
        <v>20</v>
      </c>
      <c r="E4" s="10" t="s">
        <v>23</v>
      </c>
      <c r="F4" s="10" t="s">
        <v>10</v>
      </c>
      <c r="G4" s="10" t="s">
        <v>9</v>
      </c>
      <c r="H4" s="10" t="s">
        <v>25</v>
      </c>
      <c r="I4" s="10" t="s">
        <v>26</v>
      </c>
      <c r="J4" s="10" t="s">
        <v>27</v>
      </c>
      <c r="K4" s="10" t="s">
        <v>28</v>
      </c>
      <c r="L4" s="10" t="s">
        <v>29</v>
      </c>
      <c r="M4" s="10" t="s">
        <v>30</v>
      </c>
      <c r="N4" s="10" t="s">
        <v>31</v>
      </c>
      <c r="O4" s="10" t="s">
        <v>32</v>
      </c>
      <c r="P4" s="10" t="s">
        <v>33</v>
      </c>
      <c r="Q4" s="10" t="s">
        <v>34</v>
      </c>
      <c r="R4" s="10" t="s">
        <v>15</v>
      </c>
      <c r="S4" s="10" t="s">
        <v>8</v>
      </c>
      <c r="T4" s="10" t="s">
        <v>36</v>
      </c>
      <c r="U4" s="10" t="s">
        <v>80</v>
      </c>
      <c r="V4" s="10" t="s">
        <v>81</v>
      </c>
      <c r="W4" s="10" t="s">
        <v>83</v>
      </c>
      <c r="X4" s="10" t="s">
        <v>90</v>
      </c>
      <c r="Y4" s="10" t="s">
        <v>92</v>
      </c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mergeCells count="2">
    <mergeCell ref="A1:Y1"/>
    <mergeCell ref="A2:Y2"/>
  </mergeCells>
  <printOptions/>
  <pageMargins bottom="1.0" footer="0.0" header="0.0" left="0.75" right="0.75" top="1.0"/>
  <pageSetup paperSize="9" orientation="portrait"/>
  <drawing r:id="rId1"/>
</worksheet>
</file>