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"/>
    </mc:Choice>
  </mc:AlternateContent>
  <xr:revisionPtr revIDLastSave="0" documentId="13_ncr:1_{1EDE69BE-75D2-4466-BE8A-3DBFAF7C4707}" xr6:coauthVersionLast="40" xr6:coauthVersionMax="40" xr10:uidLastSave="{00000000-0000-0000-0000-000000000000}"/>
  <bookViews>
    <workbookView xWindow="-28920" yWindow="-120" windowWidth="29040" windowHeight="15840" xr2:uid="{00000000-000D-0000-FFFF-FFFF00000000}"/>
  </bookViews>
  <sheets>
    <sheet name="Total-per-pond" sheetId="1" r:id="rId1"/>
    <sheet name="per Liter" sheetId="2" r:id="rId2"/>
  </sheets>
  <definedNames>
    <definedName name="solver_adj" localSheetId="1" hidden="1">'per Liter'!$J$1</definedName>
    <definedName name="solver_adj" localSheetId="0" hidden="1">'Total-per-pond'!$N$2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'per Liter'!$K$14</definedName>
    <definedName name="solver_opt" localSheetId="0" hidden="1">'Total-per-pond'!$Q$15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P6" i="1"/>
  <c r="R7" i="1"/>
  <c r="R8" i="1"/>
  <c r="R9" i="1"/>
  <c r="R10" i="1"/>
  <c r="R11" i="1"/>
  <c r="R12" i="1"/>
  <c r="R13" i="1"/>
  <c r="R6" i="1"/>
  <c r="L6" i="1"/>
  <c r="J6" i="1"/>
  <c r="M6" i="1" s="1"/>
  <c r="N6" i="1" s="1"/>
  <c r="I15" i="1"/>
  <c r="I16" i="1"/>
  <c r="I17" i="1"/>
  <c r="H6" i="1"/>
  <c r="I6" i="1" s="1"/>
  <c r="H7" i="1"/>
  <c r="I7" i="1" s="1"/>
  <c r="H8" i="1"/>
  <c r="H9" i="1"/>
  <c r="H10" i="1"/>
  <c r="H11" i="1"/>
  <c r="H12" i="1"/>
  <c r="H13" i="1"/>
  <c r="I8" i="1"/>
  <c r="I9" i="1"/>
  <c r="I10" i="1"/>
  <c r="I11" i="1"/>
  <c r="I12" i="1"/>
  <c r="I13" i="1"/>
  <c r="E15" i="1"/>
  <c r="E16" i="1"/>
  <c r="E17" i="1"/>
  <c r="E7" i="1"/>
  <c r="E8" i="1"/>
  <c r="E9" i="1"/>
  <c r="E10" i="1"/>
  <c r="E11" i="1"/>
  <c r="E12" i="1"/>
  <c r="E13" i="1"/>
  <c r="E6" i="1"/>
  <c r="D15" i="1"/>
  <c r="D16" i="1"/>
  <c r="D17" i="1"/>
  <c r="D7" i="1"/>
  <c r="D8" i="1"/>
  <c r="D9" i="1"/>
  <c r="D10" i="1"/>
  <c r="D11" i="1"/>
  <c r="D12" i="1"/>
  <c r="D13" i="1"/>
  <c r="D6" i="1"/>
  <c r="Z2" i="1"/>
  <c r="Z1" i="1"/>
  <c r="L7" i="1"/>
  <c r="O6" i="1" l="1"/>
  <c r="J7" i="1"/>
  <c r="M7" i="1" s="1"/>
  <c r="N7" i="1" s="1"/>
  <c r="B16" i="1"/>
  <c r="B15" i="1" s="1"/>
  <c r="B17" i="1" s="1"/>
  <c r="B13" i="1"/>
  <c r="B8" i="1"/>
  <c r="B7" i="1"/>
  <c r="Q7" i="1" l="1"/>
  <c r="O7" i="1"/>
  <c r="P7" i="1"/>
  <c r="L8" i="1" l="1"/>
  <c r="L9" i="1"/>
  <c r="L10" i="1"/>
  <c r="L11" i="1"/>
  <c r="L12" i="1"/>
  <c r="L13" i="1"/>
  <c r="F47" i="1" l="1"/>
  <c r="G16" i="2"/>
  <c r="D16" i="2"/>
  <c r="C16" i="2"/>
  <c r="B16" i="2"/>
  <c r="G15" i="2"/>
  <c r="D15" i="2"/>
  <c r="C15" i="2"/>
  <c r="B15" i="2"/>
  <c r="G14" i="2"/>
  <c r="D14" i="2"/>
  <c r="C14" i="2"/>
  <c r="B14" i="2"/>
  <c r="H12" i="2"/>
  <c r="E12" i="2"/>
  <c r="F12" i="2" s="1"/>
  <c r="H11" i="2"/>
  <c r="E11" i="2"/>
  <c r="F11" i="2" s="1"/>
  <c r="H10" i="2"/>
  <c r="E10" i="2"/>
  <c r="F10" i="2" s="1"/>
  <c r="H9" i="2"/>
  <c r="E9" i="2"/>
  <c r="F9" i="2" s="1"/>
  <c r="H8" i="2"/>
  <c r="E8" i="2"/>
  <c r="F8" i="2" s="1"/>
  <c r="H7" i="2"/>
  <c r="E7" i="2"/>
  <c r="F7" i="2" s="1"/>
  <c r="H6" i="2"/>
  <c r="E6" i="2"/>
  <c r="F6" i="2" s="1"/>
  <c r="H5" i="2"/>
  <c r="E5" i="2"/>
  <c r="L16" i="1" l="1"/>
  <c r="L15" i="1" s="1"/>
  <c r="I7" i="2"/>
  <c r="J7" i="2" s="1"/>
  <c r="K7" i="2" s="1"/>
  <c r="I9" i="2"/>
  <c r="J9" i="2" s="1"/>
  <c r="K9" i="2" s="1"/>
  <c r="I11" i="2"/>
  <c r="J11" i="2" s="1"/>
  <c r="K11" i="2" s="1"/>
  <c r="H15" i="2"/>
  <c r="I6" i="2"/>
  <c r="J6" i="2" s="1"/>
  <c r="K6" i="2" s="1"/>
  <c r="I8" i="2"/>
  <c r="J8" i="2" s="1"/>
  <c r="K8" i="2" s="1"/>
  <c r="I10" i="2"/>
  <c r="J10" i="2" s="1"/>
  <c r="K10" i="2" s="1"/>
  <c r="I12" i="2"/>
  <c r="J12" i="2" s="1"/>
  <c r="K12" i="2" s="1"/>
  <c r="E15" i="2"/>
  <c r="H14" i="2"/>
  <c r="H16" i="2"/>
  <c r="E14" i="2"/>
  <c r="E16" i="2"/>
  <c r="F5" i="2"/>
  <c r="L17" i="1" l="1"/>
  <c r="F16" i="2"/>
  <c r="F14" i="2"/>
  <c r="I5" i="2"/>
  <c r="F15" i="2"/>
  <c r="I15" i="2" l="1"/>
  <c r="J5" i="2"/>
  <c r="I16" i="2"/>
  <c r="I14" i="2"/>
  <c r="K5" i="2" l="1"/>
  <c r="J16" i="2"/>
  <c r="J14" i="2"/>
  <c r="J15" i="2"/>
  <c r="G15" i="1"/>
  <c r="K15" i="1"/>
  <c r="F16" i="1"/>
  <c r="F15" i="1" s="1"/>
  <c r="G16" i="1"/>
  <c r="K16" i="1"/>
  <c r="K17" i="1" s="1"/>
  <c r="G17" i="1"/>
  <c r="C16" i="1"/>
  <c r="C17" i="1" s="1"/>
  <c r="C15" i="1"/>
  <c r="J9" i="1"/>
  <c r="J10" i="1"/>
  <c r="J11" i="1"/>
  <c r="J12" i="1"/>
  <c r="M12" i="1" s="1"/>
  <c r="J13" i="1"/>
  <c r="M11" i="1" l="1"/>
  <c r="P11" i="1" s="1"/>
  <c r="M13" i="1"/>
  <c r="P13" i="1" s="1"/>
  <c r="M10" i="1"/>
  <c r="P10" i="1" s="1"/>
  <c r="M9" i="1"/>
  <c r="P9" i="1" s="1"/>
  <c r="F17" i="1"/>
  <c r="J8" i="1"/>
  <c r="H16" i="1"/>
  <c r="H15" i="1" s="1"/>
  <c r="H17" i="1" s="1"/>
  <c r="K16" i="2"/>
  <c r="K14" i="2"/>
  <c r="K15" i="2"/>
  <c r="N9" i="1" l="1"/>
  <c r="N13" i="1"/>
  <c r="M8" i="1"/>
  <c r="P8" i="1" s="1"/>
  <c r="N10" i="1"/>
  <c r="N11" i="1"/>
  <c r="J16" i="1"/>
  <c r="J17" i="1"/>
  <c r="J15" i="1"/>
  <c r="Q10" i="1" l="1"/>
  <c r="O10" i="1"/>
  <c r="Q13" i="1"/>
  <c r="O13" i="1"/>
  <c r="Q11" i="1"/>
  <c r="O11" i="1"/>
  <c r="Q9" i="1"/>
  <c r="O9" i="1"/>
  <c r="M16" i="1"/>
  <c r="M15" i="1"/>
  <c r="M17" i="1" s="1"/>
  <c r="N8" i="1"/>
  <c r="P12" i="1"/>
  <c r="N12" i="1"/>
  <c r="Q8" i="1" l="1"/>
  <c r="O8" i="1"/>
  <c r="Q12" i="1"/>
  <c r="Q15" i="1" s="1"/>
  <c r="O12" i="1"/>
  <c r="N15" i="1"/>
  <c r="N16" i="1"/>
  <c r="P17" i="1"/>
  <c r="P16" i="1"/>
  <c r="P15" i="1"/>
  <c r="N17" i="1"/>
  <c r="Q16" i="1"/>
  <c r="O16" i="1" l="1"/>
  <c r="O15" i="1"/>
  <c r="O17" i="1"/>
  <c r="R15" i="1"/>
  <c r="R17" i="1"/>
  <c r="R16" i="1"/>
  <c r="Q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</author>
  </authors>
  <commentList>
    <comment ref="N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This value is set such that average neonates next spring = average neonates this spring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This value is set such that average neonates next spring = average neonates this spring</t>
        </r>
      </text>
    </comment>
  </commentList>
</comments>
</file>

<file path=xl/sharedStrings.xml><?xml version="1.0" encoding="utf-8"?>
<sst xmlns="http://schemas.openxmlformats.org/spreadsheetml/2006/main" count="91" uniqueCount="66">
  <si>
    <t>m</t>
  </si>
  <si>
    <t>Pond</t>
  </si>
  <si>
    <t>East</t>
  </si>
  <si>
    <t>NoOil</t>
  </si>
  <si>
    <t>Oil</t>
  </si>
  <si>
    <t>Golf</t>
  </si>
  <si>
    <t>Waterfall</t>
  </si>
  <si>
    <t>Vulgaris</t>
  </si>
  <si>
    <t>Vulgaris small</t>
  </si>
  <si>
    <t>Ice</t>
  </si>
  <si>
    <t>days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</si>
  <si>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neonates</t>
    </r>
    <r>
      <rPr>
        <sz val="11"/>
        <color theme="1"/>
        <rFont val="Calibri"/>
        <family val="2"/>
        <scheme val="minor"/>
      </rPr>
      <t xml:space="preserve"> (K)</t>
    </r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</si>
  <si>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pre-imago</t>
    </r>
    <r>
      <rPr>
        <sz val="11"/>
        <color theme="1"/>
        <rFont val="Calibri"/>
        <family val="2"/>
        <scheme val="minor"/>
      </rPr>
      <t xml:space="preserve"> (K)</t>
    </r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</si>
  <si>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Adult females</t>
    </r>
  </si>
  <si>
    <t>Female winglength</t>
  </si>
  <si>
    <t>Prop. Females =</t>
  </si>
  <si>
    <t>Survival pre-imago to adult =</t>
  </si>
  <si>
    <t>Average</t>
  </si>
  <si>
    <t>min</t>
  </si>
  <si>
    <t>max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</si>
  <si>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</si>
  <si>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</si>
  <si>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</si>
  <si>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</si>
  <si>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</si>
  <si>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</si>
  <si>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</si>
  <si>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</si>
  <si>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</si>
  <si>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</si>
  <si>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</si>
  <si>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</si>
  <si>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</si>
  <si>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</si>
  <si>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</si>
  <si>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</si>
  <si>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</si>
  <si>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</si>
  <si>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</si>
  <si>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</si>
  <si>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</si>
  <si>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</si>
  <si>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</si>
  <si>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</si>
  <si>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</si>
  <si>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b1 =</t>
  </si>
  <si>
    <t>b0 =</t>
  </si>
  <si>
    <t>high</t>
  </si>
  <si>
    <t>low</t>
  </si>
  <si>
    <t>mm</t>
  </si>
  <si>
    <t>eggs</t>
  </si>
  <si>
    <t>Fecundity</t>
  </si>
  <si>
    <t>Eggs to winter</t>
  </si>
  <si>
    <t>= Surv egg-neonate</t>
  </si>
  <si>
    <t>Neonates next spring</t>
  </si>
  <si>
    <t>R</t>
  </si>
  <si>
    <t>Neonates / liter</t>
  </si>
  <si>
    <t>Pond perim</t>
  </si>
  <si>
    <t>R2</t>
  </si>
  <si>
    <t>Neonates next spring if dependent on pond area</t>
  </si>
  <si>
    <t>Prob blood meal from Culler et al.</t>
  </si>
  <si>
    <t>ln(Nneonates)</t>
  </si>
  <si>
    <t>Nneonates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</si>
  <si>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pre-imago</t>
    </r>
    <r>
      <rPr>
        <sz val="11"/>
        <color theme="1"/>
        <rFont val="Calibri"/>
        <family val="2"/>
        <scheme val="minor"/>
      </rPr>
      <t xml:space="preserve"> </t>
    </r>
  </si>
  <si>
    <t>ln(Npre-imago )</t>
  </si>
  <si>
    <t>lnNeonates next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</si>
</sst>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>
      <alignment horizontal="center"/>
    </xf>
    <xf numFmtId="0" fontId="0" fillId="0" borderId="0" xfId="0" quotePrefix="1"/>
    <xf numFmtId="0" fontId="0" fillId="2" borderId="0" xfId="0" applyFont="1" applyFill="1" applyAlignment="1">
      <alignment horizont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159230096237"/>
          <c:y val="5.0925925925925923E-2"/>
          <c:w val="0.82365507436570429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26111029128351965"/>
                  <c:y val="-0.62148386963440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'Total-per-pond'!$C$6:$C$13</c:f>
              <c:numCache>
                <c:formatCode>0.00</c:formatCode>
                <c:ptCount val="8"/>
                <c:pt idx="0">
                  <c:v>860.50379999999996</c:v>
                </c:pt>
                <c:pt idx="1">
                  <c:v>1283.5956000000001</c:v>
                </c:pt>
                <c:pt idx="2">
                  <c:v>1982.8803</c:v>
                </c:pt>
                <c:pt idx="3">
                  <c:v>663.87159999999994</c:v>
                </c:pt>
                <c:pt idx="4">
                  <c:v>717.29430000000002</c:v>
                </c:pt>
                <c:pt idx="5">
                  <c:v>12437.944</c:v>
                </c:pt>
                <c:pt idx="6">
                  <c:v>2960.5018</c:v>
                </c:pt>
                <c:pt idx="7">
                  <c:v>440.82679999999999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-0.38962113795668607</c:v>
                </c:pt>
                <c:pt idx="1">
                  <c:v>0.17490110983367302</c:v>
                </c:pt>
                <c:pt idx="2">
                  <c:v>-0.44663471368873253</c:v>
                </c:pt>
                <c:pt idx="3">
                  <c:v>0.89476912368261807</c:v>
                </c:pt>
                <c:pt idx="4">
                  <c:v>0.28644544135299377</c:v>
                </c:pt>
                <c:pt idx="5">
                  <c:v>-1.0602720859246606</c:v>
                </c:pt>
                <c:pt idx="6">
                  <c:v>-0.75233025479151117</c:v>
                </c:pt>
                <c:pt idx="7">
                  <c:v>1.2866009031738752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28-4172-8C1E-9F4A4906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50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neonates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747047244095"/>
          <c:y val="3.7534326804190797E-2"/>
          <c:w val="0.8049050196850394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167495706096227"/>
                  <c:y val="-0.62201489046542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'Total-per-pond'!$F$6:$F$13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6.6629999999999995E-2</c:v>
                </c:pt>
                <c:pt idx="2">
                  <c:v>0.10172</c:v>
                </c:pt>
                <c:pt idx="3">
                  <c:v>6.4850000000000003E-3</c:v>
                </c:pt>
                <c:pt idx="4">
                  <c:v>4.02E-2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1.345E-2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-0.38962113795668607</c:v>
                </c:pt>
                <c:pt idx="1">
                  <c:v>0.17490110983367302</c:v>
                </c:pt>
                <c:pt idx="2">
                  <c:v>-0.44663471368873253</c:v>
                </c:pt>
                <c:pt idx="3">
                  <c:v>0.89476912368261807</c:v>
                </c:pt>
                <c:pt idx="4">
                  <c:v>0.28644544135299377</c:v>
                </c:pt>
                <c:pt idx="5">
                  <c:v>-1.0602720859246606</c:v>
                </c:pt>
                <c:pt idx="6">
                  <c:v>-0.75233025479151117</c:v>
                </c:pt>
                <c:pt idx="7">
                  <c:v>1.2866009031738752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0-460C-B7C2-1D1550F9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  <c:majorUnit val="5.000000000000001E-2"/>
        <c:minorUnit val="1.0000000000000002E-2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180455488388"/>
          <c:y val="3.7534326804190797E-2"/>
          <c:w val="0.8105708103767482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608188049341515"/>
                  <c:y val="2.858380740684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'Total-per-pond'!$L$6:$L$13</c:f>
              <c:numCache>
                <c:formatCode>0</c:formatCode>
                <c:ptCount val="8"/>
                <c:pt idx="0">
                  <c:v>71.148961870600445</c:v>
                </c:pt>
                <c:pt idx="1">
                  <c:v>57.235136341599024</c:v>
                </c:pt>
                <c:pt idx="2">
                  <c:v>80.959753270147488</c:v>
                </c:pt>
                <c:pt idx="3">
                  <c:v>45.498801973310087</c:v>
                </c:pt>
                <c:pt idx="4">
                  <c:v>55.54715574272781</c:v>
                </c:pt>
                <c:pt idx="5">
                  <c:v>61.777226032510669</c:v>
                </c:pt>
                <c:pt idx="6">
                  <c:v>91.596825675242584</c:v>
                </c:pt>
                <c:pt idx="7">
                  <c:v>80.534669992563551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-0.38962113795668607</c:v>
                </c:pt>
                <c:pt idx="1">
                  <c:v>0.17490110983367302</c:v>
                </c:pt>
                <c:pt idx="2">
                  <c:v>-0.44663471368873253</c:v>
                </c:pt>
                <c:pt idx="3">
                  <c:v>0.89476912368261807</c:v>
                </c:pt>
                <c:pt idx="4">
                  <c:v>0.28644544135299377</c:v>
                </c:pt>
                <c:pt idx="5">
                  <c:v>-1.0602720859246606</c:v>
                </c:pt>
                <c:pt idx="6">
                  <c:v>-0.75233025479151117</c:v>
                </c:pt>
                <c:pt idx="7">
                  <c:v>1.2866009031738752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1-409B-BCC1-AB754268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  <c:max val="100"/>
          <c:min val="4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Fecundity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9340691387935"/>
          <c:y val="3.7534326804190797E-2"/>
          <c:w val="0.7935089844538662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'Total-per-pond'!$F$5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56632151859204571"/>
                  <c:y val="7.0199579013019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'Total-per-pond'!$C$6:$C$13</c:f>
              <c:numCache>
                <c:formatCode>0.00</c:formatCode>
                <c:ptCount val="8"/>
                <c:pt idx="0">
                  <c:v>860.50379999999996</c:v>
                </c:pt>
                <c:pt idx="1">
                  <c:v>1283.5956000000001</c:v>
                </c:pt>
                <c:pt idx="2">
                  <c:v>1982.8803</c:v>
                </c:pt>
                <c:pt idx="3">
                  <c:v>663.87159999999994</c:v>
                </c:pt>
                <c:pt idx="4">
                  <c:v>717.29430000000002</c:v>
                </c:pt>
                <c:pt idx="5">
                  <c:v>12437.944</c:v>
                </c:pt>
                <c:pt idx="6">
                  <c:v>2960.5018</c:v>
                </c:pt>
                <c:pt idx="7">
                  <c:v>440.82679999999999</c:v>
                </c:pt>
              </c:numCache>
            </c:numRef>
          </c:xVal>
          <c:yVal>
            <c:numRef>
              <c:f>'Total-per-pond'!$F$6:$F$13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6.6629999999999995E-2</c:v>
                </c:pt>
                <c:pt idx="2">
                  <c:v>0.10172</c:v>
                </c:pt>
                <c:pt idx="3">
                  <c:v>6.4850000000000003E-3</c:v>
                </c:pt>
                <c:pt idx="4">
                  <c:v>4.02E-2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1.345E-2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D-4DAA-A375-284F60E4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30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 size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2.7778899432442739E-3"/>
              <c:y val="0.2080657309140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</a:t>
            </a:r>
            <a:r>
              <a:rPr lang="en-US" baseline="0"/>
              <a:t> this year) vs ln(N next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'Total-per-pond'!$E$6:$E$13</c:f>
              <c:numCache>
                <c:formatCode>0.00</c:formatCode>
                <c:ptCount val="8"/>
                <c:pt idx="0">
                  <c:v>13.665273310661169</c:v>
                </c:pt>
                <c:pt idx="1">
                  <c:v>14.065175760352817</c:v>
                </c:pt>
                <c:pt idx="2">
                  <c:v>14.500061042593776</c:v>
                </c:pt>
                <c:pt idx="3">
                  <c:v>13.405844036265531</c:v>
                </c:pt>
                <c:pt idx="4">
                  <c:v>13.483241495617039</c:v>
                </c:pt>
                <c:pt idx="5">
                  <c:v>16.336262358304271</c:v>
                </c:pt>
                <c:pt idx="6">
                  <c:v>14.900869338959188</c:v>
                </c:pt>
                <c:pt idx="7">
                  <c:v>12.996407333520779</c:v>
                </c:pt>
              </c:numCache>
            </c:numRef>
          </c:xVal>
          <c:yVal>
            <c:numRef>
              <c:f>'Total-per-pond'!$O$6:$O$13</c:f>
              <c:numCache>
                <c:formatCode>0.00</c:formatCode>
                <c:ptCount val="8"/>
                <c:pt idx="0">
                  <c:v>13.275652172704483</c:v>
                </c:pt>
                <c:pt idx="1">
                  <c:v>14.24007687018649</c:v>
                </c:pt>
                <c:pt idx="2">
                  <c:v>14.053426328905044</c:v>
                </c:pt>
                <c:pt idx="3">
                  <c:v>14.300613159948149</c:v>
                </c:pt>
                <c:pt idx="4">
                  <c:v>13.769686936970032</c:v>
                </c:pt>
                <c:pt idx="5">
                  <c:v>15.275990272379611</c:v>
                </c:pt>
                <c:pt idx="6">
                  <c:v>14.148539084167677</c:v>
                </c:pt>
                <c:pt idx="7">
                  <c:v>14.283008236694654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E-4548-9390-C37E6A42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5200"/>
        <c:axId val="628595528"/>
      </c:scatterChart>
      <c:valAx>
        <c:axId val="628595200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this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528"/>
        <c:crosses val="autoZero"/>
        <c:crossBetween val="midCat"/>
      </c:valAx>
      <c:valAx>
        <c:axId val="628595528"/>
        <c:scaling>
          <c:orientation val="minMax"/>
          <c:max val="2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next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159230096237"/>
          <c:y val="5.0925925925925923E-2"/>
          <c:w val="0.82365507436570429"/>
          <c:h val="0.83448281159976956"/>
        </c:manualLayout>
      </c:layout>
      <c:scatterChart>
        <c:scatterStyle val="lineMarker"/>
        <c:varyColors val="0"/>
        <c:ser>
          <c:idx val="7"/>
          <c:order val="0"/>
          <c:tx>
            <c:strRef>
              <c:f>'per Liter'!$B$4</c:f>
              <c:strCache>
                <c:ptCount val="1"/>
                <c:pt idx="0">
                  <c:v>Neonates / liter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30572725284339458"/>
                  <c:y val="-0.64968772805838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Liter'!$B$5:$B$12</c:f>
              <c:numCache>
                <c:formatCode>General</c:formatCode>
                <c:ptCount val="8"/>
                <c:pt idx="0">
                  <c:v>21.1</c:v>
                </c:pt>
                <c:pt idx="1">
                  <c:v>75.2</c:v>
                </c:pt>
                <c:pt idx="2">
                  <c:v>50.1</c:v>
                </c:pt>
                <c:pt idx="3">
                  <c:v>15.5</c:v>
                </c:pt>
                <c:pt idx="4">
                  <c:v>13.5</c:v>
                </c:pt>
                <c:pt idx="5">
                  <c:v>140.69999999999999</c:v>
                </c:pt>
                <c:pt idx="6">
                  <c:v>41.7</c:v>
                </c:pt>
                <c:pt idx="7">
                  <c:v>10.9</c:v>
                </c:pt>
              </c:numCache>
            </c:numRef>
          </c:xVal>
          <c:yVal>
            <c:numRef>
              <c:f>'per Liter'!$K$5:$K$12</c:f>
              <c:numCache>
                <c:formatCode>0.000</c:formatCode>
                <c:ptCount val="8"/>
                <c:pt idx="0">
                  <c:v>-0.36111135104159464</c:v>
                </c:pt>
                <c:pt idx="1">
                  <c:v>0.43807439047519647</c:v>
                </c:pt>
                <c:pt idx="2">
                  <c:v>-0.60230690394436026</c:v>
                </c:pt>
                <c:pt idx="3">
                  <c:v>0.47906295997634452</c:v>
                </c:pt>
                <c:pt idx="4">
                  <c:v>0.8740193453315519</c:v>
                </c:pt>
                <c:pt idx="5">
                  <c:v>-0.87628098611617578</c:v>
                </c:pt>
                <c:pt idx="6">
                  <c:v>-0.54676920919832472</c:v>
                </c:pt>
                <c:pt idx="7">
                  <c:v>0.59531072447023359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7-4F6E-96B5-BE648732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Neonates</a:t>
                </a:r>
                <a:r>
                  <a:rPr lang="en-US" sz="1400" baseline="0"/>
                  <a:t> / liter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747047244095"/>
          <c:y val="3.7534326804190797E-2"/>
          <c:w val="0.8049050196850394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'per Liter'!$C$4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745399388815775"/>
                  <c:y val="-0.5782965619396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Liter'!$C$5:$C$12</c:f>
              <c:numCache>
                <c:formatCode>0.000</c:formatCode>
                <c:ptCount val="8"/>
                <c:pt idx="0">
                  <c:v>0.05</c:v>
                </c:pt>
                <c:pt idx="1">
                  <c:v>-0.01</c:v>
                </c:pt>
                <c:pt idx="2">
                  <c:v>7.0000000000000007E-2</c:v>
                </c:pt>
                <c:pt idx="3">
                  <c:v>-0.02</c:v>
                </c:pt>
                <c:pt idx="4">
                  <c:v>-0.04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-0.01</c:v>
                </c:pt>
              </c:numCache>
            </c:numRef>
          </c:xVal>
          <c:yVal>
            <c:numRef>
              <c:f>'per Liter'!$K$5:$K$12</c:f>
              <c:numCache>
                <c:formatCode>0.000</c:formatCode>
                <c:ptCount val="8"/>
                <c:pt idx="0">
                  <c:v>-0.36111135104159464</c:v>
                </c:pt>
                <c:pt idx="1">
                  <c:v>0.43807439047519647</c:v>
                </c:pt>
                <c:pt idx="2">
                  <c:v>-0.60230690394436026</c:v>
                </c:pt>
                <c:pt idx="3">
                  <c:v>0.47906295997634452</c:v>
                </c:pt>
                <c:pt idx="4">
                  <c:v>0.8740193453315519</c:v>
                </c:pt>
                <c:pt idx="5">
                  <c:v>-0.87628098611617578</c:v>
                </c:pt>
                <c:pt idx="6">
                  <c:v>-0.54676920919832472</c:v>
                </c:pt>
                <c:pt idx="7">
                  <c:v>0.59531072447023359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6-4124-BFAF-EECFBE821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  <c:majorUnit val="5.000000000000001E-2"/>
        <c:minorUnit val="1.0000000000000002E-2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At val="-5.000000000000001E-2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180455488388"/>
          <c:y val="3.7534326804190797E-2"/>
          <c:w val="0.8105708103767482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'per Liter'!$B$4</c:f>
              <c:strCache>
                <c:ptCount val="1"/>
                <c:pt idx="0">
                  <c:v>Neonates / liter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'per Liter'!$H$5:$H$12</c:f>
              <c:numCache>
                <c:formatCode>0</c:formatCode>
                <c:ptCount val="8"/>
                <c:pt idx="0">
                  <c:v>61.673151750972764</c:v>
                </c:pt>
                <c:pt idx="1">
                  <c:v>55.758754863813238</c:v>
                </c:pt>
                <c:pt idx="2">
                  <c:v>65.408560311284049</c:v>
                </c:pt>
                <c:pt idx="3">
                  <c:v>50.000000000000007</c:v>
                </c:pt>
                <c:pt idx="4">
                  <c:v>54.980544747081723</c:v>
                </c:pt>
                <c:pt idx="5">
                  <c:v>57.782101167315176</c:v>
                </c:pt>
                <c:pt idx="6">
                  <c:v>69.143968871595348</c:v>
                </c:pt>
                <c:pt idx="7">
                  <c:v>65.25291828793776</c:v>
                </c:pt>
              </c:numCache>
            </c:numRef>
          </c:xVal>
          <c:yVal>
            <c:numRef>
              <c:f>'per Liter'!$K$5:$K$12</c:f>
              <c:numCache>
                <c:formatCode>0.000</c:formatCode>
                <c:ptCount val="8"/>
                <c:pt idx="0">
                  <c:v>-0.36111135104159464</c:v>
                </c:pt>
                <c:pt idx="1">
                  <c:v>0.43807439047519647</c:v>
                </c:pt>
                <c:pt idx="2">
                  <c:v>-0.60230690394436026</c:v>
                </c:pt>
                <c:pt idx="3">
                  <c:v>0.47906295997634452</c:v>
                </c:pt>
                <c:pt idx="4">
                  <c:v>0.8740193453315519</c:v>
                </c:pt>
                <c:pt idx="5">
                  <c:v>-0.87628098611617578</c:v>
                </c:pt>
                <c:pt idx="6">
                  <c:v>-0.54676920919832472</c:v>
                </c:pt>
                <c:pt idx="7">
                  <c:v>0.59531072447023359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1-4B2D-AFBC-E74F4234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  <c:max val="70"/>
          <c:min val="4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Fecundity</a:t>
                </a:r>
              </a:p>
            </c:rich>
          </c:tx>
          <c:layout>
            <c:manualLayout>
              <c:xMode val="edge"/>
              <c:yMode val="edge"/>
              <c:x val="0.42501394124601283"/>
              <c:y val="0.90054455445544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546100</xdr:colOff>
      <xdr:row>4</xdr:row>
      <xdr:rowOff>50800</xdr:rowOff>
    </xdr:from>
    <xdr:to>
      <xdr:col>29</xdr:col>
      <xdr:colOff>209550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16</xdr:row>
      <xdr:rowOff>146050</xdr:rowOff>
    </xdr:from>
    <xdr:to>
      <xdr:col>29</xdr:col>
      <xdr:colOff>177800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537634</xdr:colOff>
      <xdr:row>17</xdr:row>
      <xdr:rowOff>124884</xdr:rowOff>
    </xdr:from>
    <xdr:to>
      <xdr:col>18</xdr:col>
      <xdr:colOff>366184</xdr:colOff>
      <xdr:row>31</xdr:row>
      <xdr:rowOff>112184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336550</xdr:colOff>
      <xdr:row>7</xdr:row>
      <xdr:rowOff>6350</xdr:rowOff>
    </xdr:from>
    <xdr:to>
      <xdr:col>34</xdr:col>
      <xdr:colOff>260350</xdr:colOff>
      <xdr:row>16</xdr:row>
      <xdr:rowOff>82550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214850" y="1930400"/>
          <a:ext cx="29718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Ponds with lower initial abundance</a:t>
          </a:r>
          <a:r>
            <a:rPr lang="en-US" sz="1100" baseline="0"/>
            <a:t> tended to have higher survival and ton contribute more mosquito eggs to the next generation.</a:t>
          </a:r>
          <a:endParaRPr lang="en-US" sz="1100"/>
        </a:p>
        <a:p>
          <a:endParaRPr lang="en-US" sz="1100"/>
        </a:p>
        <a:p>
          <a:r>
            <a:rPr lang="en-US" sz="1100"/>
            <a:t>However, larger ponds</a:t>
          </a:r>
          <a:r>
            <a:rPr lang="en-US" sz="1100" baseline="0"/>
            <a:t> might have higher survival of neonates because there is a bigger target for ovipositing females. This is not considered in this model. All ponds assumed to have the same survival from egg to to neonate.</a:t>
          </a:r>
          <a:endParaRPr lang="en-US" sz="1100"/>
        </a:p>
      </xdr:txBody>
    </xdr:sp>
    <xdr:clientData/>
  </xdr:twoCellAnchor>
  <xdr:twoCellAnchor>
    <xdr:from>
      <xdr:col>29</xdr:col>
      <xdr:colOff>323850</xdr:colOff>
      <xdr:row>19</xdr:row>
      <xdr:rowOff>114300</xdr:rowOff>
    </xdr:from>
    <xdr:to>
      <xdr:col>33</xdr:col>
      <xdr:colOff>419100</xdr:colOff>
      <xdr:row>25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202150" y="4324350"/>
          <a:ext cx="253365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Mortality rate during larval development is a strong</a:t>
          </a:r>
          <a:r>
            <a:rPr lang="en-US" sz="1100" baseline="0"/>
            <a:t> driver of population trajectories. Fecundity is trivial at best (even goes in the wrong direction).</a:t>
          </a:r>
          <a:endParaRPr lang="en-US" sz="1100"/>
        </a:p>
      </xdr:txBody>
    </xdr:sp>
    <xdr:clientData/>
  </xdr:twoCellAnchor>
  <xdr:twoCellAnchor>
    <xdr:from>
      <xdr:col>20</xdr:col>
      <xdr:colOff>590550</xdr:colOff>
      <xdr:row>31</xdr:row>
      <xdr:rowOff>57150</xdr:rowOff>
    </xdr:from>
    <xdr:to>
      <xdr:col>29</xdr:col>
      <xdr:colOff>171450</xdr:colOff>
      <xdr:row>45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238125</xdr:colOff>
      <xdr:row>2</xdr:row>
      <xdr:rowOff>35718</xdr:rowOff>
    </xdr:from>
    <xdr:to>
      <xdr:col>16</xdr:col>
      <xdr:colOff>452437</xdr:colOff>
      <xdr:row>4</xdr:row>
      <xdr:rowOff>23812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2D37B6-9214-49D3-B6C5-DE587441DBA3}"/>
            </a:ext>
          </a:extLst>
        </xdr:cNvPr>
        <xdr:cNvSpPr txBox="1"/>
      </xdr:nvSpPr>
      <xdr:spPr>
        <a:xfrm>
          <a:off x="5357813" y="226218"/>
          <a:ext cx="3036093" cy="369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Eggs~wing</a:t>
          </a:r>
          <a:r>
            <a:rPr lang="en-US" sz="1100" baseline="0"/>
            <a:t> length + Wing length ^2.7078</a:t>
          </a:r>
          <a:endParaRPr lang="en-US" sz="1100"/>
        </a:p>
      </xdr:txBody>
    </xdr:sp>
    <xdr:clientData/>
  </xdr:twoCellAnchor>
  <xdr:twoCellAnchor>
    <xdr:from>
      <xdr:col>2</xdr:col>
      <xdr:colOff>406978</xdr:colOff>
      <xdr:row>18</xdr:row>
      <xdr:rowOff>187037</xdr:rowOff>
    </xdr:from>
    <xdr:to>
      <xdr:col>7</xdr:col>
      <xdr:colOff>736023</xdr:colOff>
      <xdr:row>33</xdr:row>
      <xdr:rowOff>98714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E0D3DB-EDB0-41AE-94E6-615D6C0B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3</xdr:row>
      <xdr:rowOff>76200</xdr:rowOff>
    </xdr:from>
    <xdr:to>
      <xdr:col>19</xdr:col>
      <xdr:colOff>107950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17</xdr:row>
      <xdr:rowOff>152400</xdr:rowOff>
    </xdr:from>
    <xdr:to>
      <xdr:col>19</xdr:col>
      <xdr:colOff>12700</xdr:colOff>
      <xdr:row>31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17</xdr:row>
      <xdr:rowOff>152400</xdr:rowOff>
    </xdr:from>
    <xdr:to>
      <xdr:col>10</xdr:col>
      <xdr:colOff>590550</xdr:colOff>
      <xdr:row>31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-Matt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-Matt" id="{13085A22-E384-47D7-8545-ECC2564F5C8A}" vid="{6CF9E396-A896-4E54-86D3-B82BA64B1DD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zoomScaleNormal="100" workbookViewId="0">
      <selection activeCell="J2" sqref="J2"/>
    </sheetView>
  </sheetViews>
  <sheetFormatPr defaultRowHeight="15" x14ac:dyDescent="0.25"/>
  <cols>
    <col min="1" max="1" width="12.140625" bestFit="1" customWidth="1"/>
    <col min="2" max="2" width="12.140625" customWidth="1"/>
    <col min="3" max="3" width="13.28515625" style="1" bestFit="1" customWidth="1"/>
    <col min="4" max="4" width="19.28515625" style="1" customWidth="1"/>
    <col min="5" max="5" width="13.28515625" style="1" customWidth="1"/>
    <col min="6" max="6" width="8.7109375" style="1"/>
    <col min="8" max="9" width="14.85546875" customWidth="1"/>
    <col min="10" max="10" width="10.42578125" bestFit="1" customWidth="1"/>
    <col min="11" max="11" width="12.42578125" customWidth="1"/>
    <col min="12" max="12" width="10.5703125" customWidth="1"/>
    <col min="14" max="14" width="12.5703125" customWidth="1"/>
    <col min="15" max="15" width="14.5703125" customWidth="1"/>
    <col min="16" max="16" width="16.5703125" customWidth="1"/>
    <col min="17" max="17" width="13.5703125" customWidth="1"/>
    <col min="22" max="23" width="15.5703125" customWidth="1"/>
    <col min="24" max="24" width="12" customWidth="1"/>
  </cols>
  <sheetData>
    <row r="1" spans="1:26" x14ac:dyDescent="0.25">
      <c r="N1">
        <v>0.17</v>
      </c>
      <c r="O1" t="s">
        <v>60</v>
      </c>
      <c r="V1" s="21">
        <v>129288.2</v>
      </c>
      <c r="W1" s="21">
        <v>227929.2</v>
      </c>
      <c r="Z1">
        <f>LN(V1)</f>
        <v>11.76979929996126</v>
      </c>
    </row>
    <row r="2" spans="1:26" x14ac:dyDescent="0.25">
      <c r="H2" s="7" t="s">
        <v>16</v>
      </c>
      <c r="I2" s="1">
        <v>0.9</v>
      </c>
      <c r="K2" s="7" t="s">
        <v>46</v>
      </c>
      <c r="L2" s="14">
        <v>2.7078250000000001</v>
      </c>
      <c r="N2" s="2">
        <v>0.79</v>
      </c>
      <c r="O2" s="15" t="s">
        <v>53</v>
      </c>
      <c r="P2" s="2"/>
      <c r="V2" s="21">
        <v>635673.69999999995</v>
      </c>
      <c r="W2" s="21">
        <v>30647.21</v>
      </c>
      <c r="X2" s="21"/>
      <c r="Z2">
        <f>LN(V2)</f>
        <v>13.362440660352449</v>
      </c>
    </row>
    <row r="3" spans="1:26" x14ac:dyDescent="0.25">
      <c r="H3" s="7" t="s">
        <v>15</v>
      </c>
      <c r="I3" s="1">
        <v>0.5</v>
      </c>
      <c r="K3" s="7"/>
      <c r="L3" s="14"/>
    </row>
    <row r="5" spans="1:26" ht="61.5" x14ac:dyDescent="0.35">
      <c r="A5" s="4" t="s">
        <v>1</v>
      </c>
      <c r="B5" s="4" t="s">
        <v>57</v>
      </c>
      <c r="C5" s="5" t="s">
        <v>11</v>
      </c>
      <c r="D5" s="5" t="s">
        <v>62</v>
      </c>
      <c r="E5" s="5" t="s">
        <v>61</v>
      </c>
      <c r="F5" s="5" t="s">
        <v>0</v>
      </c>
      <c r="G5" s="5" t="s">
        <v>10</v>
      </c>
      <c r="H5" s="5" t="s">
        <v>63</v>
      </c>
      <c r="I5" s="5" t="s">
        <v>64</v>
      </c>
      <c r="J5" s="5" t="s">
        <v>13</v>
      </c>
      <c r="K5" s="6" t="s">
        <v>14</v>
      </c>
      <c r="L5" s="5" t="s">
        <v>51</v>
      </c>
      <c r="M5" s="6" t="s">
        <v>52</v>
      </c>
      <c r="N5" s="6" t="s">
        <v>54</v>
      </c>
      <c r="O5" s="6" t="s">
        <v>65</v>
      </c>
      <c r="P5" s="6" t="s">
        <v>59</v>
      </c>
      <c r="Q5" s="6" t="s">
        <v>55</v>
      </c>
      <c r="R5" s="6" t="s">
        <v>58</v>
      </c>
    </row>
    <row r="6" spans="1:26" x14ac:dyDescent="0.25">
      <c r="A6" t="s">
        <v>2</v>
      </c>
      <c r="B6">
        <v>138.70000000000002</v>
      </c>
      <c r="C6" s="17">
        <v>860.50379999999996</v>
      </c>
      <c r="D6" s="17">
        <f>C6*1000</f>
        <v>860503.79999999993</v>
      </c>
      <c r="E6" s="17">
        <f>LN(D6)</f>
        <v>13.665273310661169</v>
      </c>
      <c r="F6" s="18">
        <v>8.8010000000000005E-2</v>
      </c>
      <c r="G6" s="1">
        <v>21</v>
      </c>
      <c r="H6" s="3">
        <f>D6*EXP(-1*F6*G6)</f>
        <v>135545.58869657372</v>
      </c>
      <c r="I6" s="3">
        <f>LN(H6)</f>
        <v>11.817063310661167</v>
      </c>
      <c r="J6" s="3">
        <f>H6*I$2*I$3</f>
        <v>60995.514913458173</v>
      </c>
      <c r="K6" s="1">
        <v>4.71</v>
      </c>
      <c r="L6" s="3">
        <f>K6+K6^$L$2</f>
        <v>71.148961870600445</v>
      </c>
      <c r="M6" s="3">
        <f>J6*L6*$N$1</f>
        <v>737760.48602539708</v>
      </c>
      <c r="N6" s="3">
        <f>M6*N$2</f>
        <v>582830.78396006371</v>
      </c>
      <c r="O6" s="8">
        <f>LN(N6)</f>
        <v>13.275652172704483</v>
      </c>
      <c r="P6" s="3">
        <f>(B6/$B$15)*$N$2*M6</f>
        <v>472222.73667914333</v>
      </c>
      <c r="Q6" s="2">
        <f>(LN(N6)-LN(D6))</f>
        <v>-0.38962113795668607</v>
      </c>
      <c r="R6">
        <f>(LN(P6)-LN(D6))</f>
        <v>-0.60006725765919633</v>
      </c>
    </row>
    <row r="7" spans="1:26" x14ac:dyDescent="0.25">
      <c r="A7" t="s">
        <v>3</v>
      </c>
      <c r="B7">
        <f>7.9+8.8+6.1+9.4+8.9+8.5+3+5.8</f>
        <v>58.4</v>
      </c>
      <c r="C7" s="17">
        <v>1283.5956000000001</v>
      </c>
      <c r="D7" s="17">
        <f t="shared" ref="D7:D13" si="0">C7*1000</f>
        <v>1283595.6000000001</v>
      </c>
      <c r="E7" s="17">
        <f t="shared" ref="E7:E13" si="1">LN(D7)</f>
        <v>14.065175760352817</v>
      </c>
      <c r="F7" s="18">
        <v>6.6629999999999995E-2</v>
      </c>
      <c r="G7" s="1">
        <v>16</v>
      </c>
      <c r="H7" s="3">
        <f t="shared" ref="H7:H13" si="2">D7*EXP(-1*F7*G7)</f>
        <v>442013.52509442641</v>
      </c>
      <c r="I7" s="3">
        <f t="shared" ref="I7:I13" si="3">LN(H7)</f>
        <v>12.999095760352818</v>
      </c>
      <c r="J7" s="3">
        <f>H7*I$2*I$3</f>
        <v>198906.08629249188</v>
      </c>
      <c r="K7" s="1">
        <v>4.33</v>
      </c>
      <c r="L7" s="3">
        <f>K7+K7^$L$2</f>
        <v>57.235136341599024</v>
      </c>
      <c r="M7" s="3">
        <f>J7*L7*$N$1</f>
        <v>1935350.884581188</v>
      </c>
      <c r="N7" s="3">
        <f>M7*N$2</f>
        <v>1528927.1988191386</v>
      </c>
      <c r="O7" s="8">
        <f t="shared" ref="O7:O13" si="4">LN(N7)</f>
        <v>14.24007687018649</v>
      </c>
      <c r="P7" s="3">
        <f>(B7/$B$15)*$N$2*M7</f>
        <v>521588.01554457942</v>
      </c>
      <c r="Q7" s="2">
        <f t="shared" ref="Q7:Q13" si="5">(LN(N7)-LN(D7))</f>
        <v>0.17490110983367302</v>
      </c>
      <c r="R7">
        <f t="shared" ref="R7:R13" si="6">(LN(P7)-LN(D7))</f>
        <v>-0.90054244735544131</v>
      </c>
    </row>
    <row r="8" spans="1:26" x14ac:dyDescent="0.25">
      <c r="A8" t="s">
        <v>4</v>
      </c>
      <c r="B8">
        <f>8.2+5.3+5.3+8.1+5.4+9.4+2.7+10.8+8.1+8.8+4.8+11.6+4.3+11+5.2+4.4+9.3+9.8</f>
        <v>132.5</v>
      </c>
      <c r="C8" s="17">
        <v>1982.8803</v>
      </c>
      <c r="D8" s="17">
        <f t="shared" si="0"/>
        <v>1982880.3</v>
      </c>
      <c r="E8" s="17">
        <f t="shared" si="1"/>
        <v>14.500061042593776</v>
      </c>
      <c r="F8" s="18">
        <v>0.10172</v>
      </c>
      <c r="G8" s="1">
        <v>20</v>
      </c>
      <c r="H8" s="3">
        <f t="shared" si="2"/>
        <v>259279.2752559426</v>
      </c>
      <c r="I8" s="3">
        <f t="shared" si="3"/>
        <v>12.465661042593776</v>
      </c>
      <c r="J8" s="3">
        <f>H8*I$2*I$3</f>
        <v>116675.67386517418</v>
      </c>
      <c r="K8" s="1">
        <v>4.95</v>
      </c>
      <c r="L8" s="3">
        <f>K8+K8^$L$2</f>
        <v>80.959753270147488</v>
      </c>
      <c r="M8" s="3">
        <f>J8*L8*$N$1</f>
        <v>1605825.7406879584</v>
      </c>
      <c r="N8" s="3">
        <f>M8*N$2</f>
        <v>1268602.3351434872</v>
      </c>
      <c r="O8" s="8">
        <f t="shared" si="4"/>
        <v>14.053426328905044</v>
      </c>
      <c r="P8" s="3">
        <f>(B8/$B$15)*$N$2*M8</f>
        <v>981904.69167732494</v>
      </c>
      <c r="Q8" s="2">
        <f t="shared" si="5"/>
        <v>-0.44663471368873253</v>
      </c>
      <c r="R8">
        <f t="shared" si="6"/>
        <v>-0.70281151528575236</v>
      </c>
    </row>
    <row r="9" spans="1:26" x14ac:dyDescent="0.25">
      <c r="A9" t="s">
        <v>5</v>
      </c>
      <c r="B9">
        <v>151.5</v>
      </c>
      <c r="C9" s="17">
        <v>663.87159999999994</v>
      </c>
      <c r="D9" s="17">
        <f t="shared" si="0"/>
        <v>663871.6</v>
      </c>
      <c r="E9" s="17">
        <f t="shared" si="1"/>
        <v>13.405844036265531</v>
      </c>
      <c r="F9" s="18">
        <v>6.4850000000000003E-3</v>
      </c>
      <c r="G9" s="1">
        <v>18</v>
      </c>
      <c r="H9" s="3">
        <f t="shared" si="2"/>
        <v>590729.82104322035</v>
      </c>
      <c r="I9" s="3">
        <f t="shared" si="3"/>
        <v>13.289114036265531</v>
      </c>
      <c r="J9" s="3">
        <f>H9*I$2*I$3</f>
        <v>265828.41946944915</v>
      </c>
      <c r="K9" s="1">
        <v>3.96</v>
      </c>
      <c r="L9" s="3">
        <f>K9+K9^$L$2</f>
        <v>45.498801973310087</v>
      </c>
      <c r="M9" s="3">
        <f>J9*L9*$N$1</f>
        <v>2056128.6847741406</v>
      </c>
      <c r="N9" s="3">
        <f>M9*N$2</f>
        <v>1624341.6609715712</v>
      </c>
      <c r="O9" s="8">
        <f t="shared" si="4"/>
        <v>14.300613159948149</v>
      </c>
      <c r="P9" s="3">
        <f>(B9/$B$15)*$N$2*M9</f>
        <v>1437533.4743319054</v>
      </c>
      <c r="Q9" s="2">
        <f t="shared" si="5"/>
        <v>0.89476912368261807</v>
      </c>
      <c r="R9">
        <f t="shared" si="6"/>
        <v>0.7725953016087459</v>
      </c>
    </row>
    <row r="10" spans="1:26" x14ac:dyDescent="0.25">
      <c r="A10" t="s">
        <v>6</v>
      </c>
      <c r="B10">
        <v>206.1</v>
      </c>
      <c r="C10" s="17">
        <v>717.29430000000002</v>
      </c>
      <c r="D10" s="17">
        <f t="shared" si="0"/>
        <v>717294.3</v>
      </c>
      <c r="E10" s="17">
        <f t="shared" si="1"/>
        <v>13.483241495617039</v>
      </c>
      <c r="F10" s="18">
        <v>4.02E-2</v>
      </c>
      <c r="G10" s="1">
        <v>23</v>
      </c>
      <c r="H10" s="3">
        <f t="shared" si="2"/>
        <v>284543.5213214854</v>
      </c>
      <c r="I10" s="3">
        <f t="shared" si="3"/>
        <v>12.558641495617039</v>
      </c>
      <c r="J10" s="3">
        <f>H10*I$2*I$3</f>
        <v>128044.58459466843</v>
      </c>
      <c r="K10" s="1">
        <v>4.28</v>
      </c>
      <c r="L10" s="3">
        <f>K10+K10^$L$2</f>
        <v>55.54715574272781</v>
      </c>
      <c r="M10" s="3">
        <f>J10*L10*$N$1</f>
        <v>1209127.1220237988</v>
      </c>
      <c r="N10" s="3">
        <f>M10*N$2</f>
        <v>955210.42639880104</v>
      </c>
      <c r="O10" s="8">
        <f t="shared" si="4"/>
        <v>13.769686936970032</v>
      </c>
      <c r="P10" s="3">
        <f>(B10/$B$15)*$N$2*M10</f>
        <v>1150018.9492853913</v>
      </c>
      <c r="Q10" s="2">
        <f t="shared" si="5"/>
        <v>0.28644544135299377</v>
      </c>
      <c r="R10">
        <f t="shared" si="6"/>
        <v>0.47204748222610959</v>
      </c>
    </row>
    <row r="11" spans="1:26" x14ac:dyDescent="0.25">
      <c r="A11" t="s">
        <v>7</v>
      </c>
      <c r="B11">
        <v>298.5</v>
      </c>
      <c r="C11" s="17">
        <v>12437.944</v>
      </c>
      <c r="D11" s="17">
        <f t="shared" si="0"/>
        <v>12437944</v>
      </c>
      <c r="E11" s="17">
        <f t="shared" si="1"/>
        <v>16.336262358304271</v>
      </c>
      <c r="F11" s="18">
        <v>0.13209000000000001</v>
      </c>
      <c r="G11" s="1">
        <v>18</v>
      </c>
      <c r="H11" s="3">
        <f t="shared" si="2"/>
        <v>1153881.8736674855</v>
      </c>
      <c r="I11" s="3">
        <f t="shared" si="3"/>
        <v>13.958642358304271</v>
      </c>
      <c r="J11" s="3">
        <f>H11*I$2*I$3</f>
        <v>519246.84315036848</v>
      </c>
      <c r="K11" s="1">
        <v>4.46</v>
      </c>
      <c r="L11" s="3">
        <f>K11+K11^$L$2</f>
        <v>61.777226032510669</v>
      </c>
      <c r="M11" s="3">
        <f>J11*L11*$N$1</f>
        <v>5453197.0313145481</v>
      </c>
      <c r="N11" s="3">
        <f>M11*N$2</f>
        <v>4308025.6547384933</v>
      </c>
      <c r="O11" s="8">
        <f t="shared" si="4"/>
        <v>15.275990272379611</v>
      </c>
      <c r="P11" s="3">
        <f>(B11/$B$15)*$N$2*M11</f>
        <v>7511913.2993906699</v>
      </c>
      <c r="Q11" s="2">
        <f t="shared" si="5"/>
        <v>-1.0602720859246606</v>
      </c>
      <c r="R11">
        <f t="shared" si="6"/>
        <v>-0.50426160011530108</v>
      </c>
    </row>
    <row r="12" spans="1:26" x14ac:dyDescent="0.25">
      <c r="A12" t="s">
        <v>8</v>
      </c>
      <c r="B12">
        <v>238.2</v>
      </c>
      <c r="C12" s="17">
        <v>2960.5018</v>
      </c>
      <c r="D12" s="17">
        <f t="shared" si="0"/>
        <v>2960501.8</v>
      </c>
      <c r="E12" s="17">
        <f t="shared" si="1"/>
        <v>14.900869338959188</v>
      </c>
      <c r="F12" s="18">
        <v>0.12966</v>
      </c>
      <c r="G12" s="1">
        <v>19</v>
      </c>
      <c r="H12" s="3">
        <f t="shared" si="2"/>
        <v>252036.53570960998</v>
      </c>
      <c r="I12" s="3">
        <f t="shared" si="3"/>
        <v>12.437329338959188</v>
      </c>
      <c r="J12" s="3">
        <f>H12*I$2*I$3</f>
        <v>113416.44106932449</v>
      </c>
      <c r="K12" s="1">
        <v>5.19</v>
      </c>
      <c r="L12" s="3">
        <f>K12+K12^$L$2</f>
        <v>91.596825675242584</v>
      </c>
      <c r="M12" s="3">
        <f>J12*L12*$N$1</f>
        <v>1766059.6168266675</v>
      </c>
      <c r="N12" s="3">
        <f>M12*N$2</f>
        <v>1395187.0972930673</v>
      </c>
      <c r="O12" s="8">
        <f t="shared" si="4"/>
        <v>14.148539084167677</v>
      </c>
      <c r="P12" s="3">
        <f>(B12/$B$15)*$N$2*M12</f>
        <v>1941342.4845576258</v>
      </c>
      <c r="Q12" s="2">
        <f t="shared" si="5"/>
        <v>-0.75233025479151117</v>
      </c>
      <c r="R12">
        <f t="shared" si="6"/>
        <v>-0.42197904489360916</v>
      </c>
    </row>
    <row r="13" spans="1:26" x14ac:dyDescent="0.25">
      <c r="A13" t="s">
        <v>9</v>
      </c>
      <c r="B13">
        <f>14.7+3.3+8.5+5.9+6.3+8.1+13.9+6.1+11+10.4+10.5+10.5+6.4+10.3+11.4+8.3</f>
        <v>145.60000000000002</v>
      </c>
      <c r="C13" s="17">
        <v>440.82679999999999</v>
      </c>
      <c r="D13" s="17">
        <f t="shared" si="0"/>
        <v>440826.8</v>
      </c>
      <c r="E13" s="17">
        <f t="shared" si="1"/>
        <v>12.996407333520779</v>
      </c>
      <c r="F13" s="18">
        <v>1.345E-2</v>
      </c>
      <c r="G13" s="1">
        <v>22</v>
      </c>
      <c r="H13" s="3">
        <f t="shared" si="2"/>
        <v>327914.22155700531</v>
      </c>
      <c r="I13" s="3">
        <f t="shared" si="3"/>
        <v>12.700507333520779</v>
      </c>
      <c r="J13" s="3">
        <f>H13*I$2*I$3</f>
        <v>147561.3997006524</v>
      </c>
      <c r="K13" s="1">
        <v>4.9400000000000004</v>
      </c>
      <c r="L13" s="3">
        <f>K13+K13^$L$2</f>
        <v>80.534669992563551</v>
      </c>
      <c r="M13" s="3">
        <f>J13*L13*$N$1</f>
        <v>2020247.4668505772</v>
      </c>
      <c r="N13" s="3">
        <f>M13*N$2</f>
        <v>1595995.498811956</v>
      </c>
      <c r="O13" s="8">
        <f t="shared" si="4"/>
        <v>14.283008236694654</v>
      </c>
      <c r="P13" s="3">
        <f>(B13/$B$15)*$N$2*M13</f>
        <v>1357441.0785076062</v>
      </c>
      <c r="Q13" s="2">
        <f t="shared" si="5"/>
        <v>1.2866009031738752</v>
      </c>
      <c r="R13">
        <f t="shared" si="6"/>
        <v>1.1247045919131633</v>
      </c>
    </row>
    <row r="15" spans="1:26" x14ac:dyDescent="0.25">
      <c r="A15" t="s">
        <v>17</v>
      </c>
      <c r="B15" s="3">
        <f>AVERAGE(B6:B13)</f>
        <v>171.1875</v>
      </c>
      <c r="C15" s="3">
        <f>AVERAGE(C6:C13)</f>
        <v>2668.4272749999996</v>
      </c>
      <c r="D15" s="3">
        <f>AVERAGE(D6:D13)</f>
        <v>2668427.2750000004</v>
      </c>
      <c r="E15" s="3">
        <f>AVERAGE(E6:E13)</f>
        <v>14.169141834534321</v>
      </c>
      <c r="F15" s="1">
        <f>AVERAGE(F6:F13)</f>
        <v>7.2280625000000001E-2</v>
      </c>
      <c r="G15" s="1">
        <f>AVERAGE(G6:G13)</f>
        <v>19.625</v>
      </c>
      <c r="H15" s="3">
        <f>AVERAGE(H6:H13)</f>
        <v>430743.04529321869</v>
      </c>
      <c r="I15" s="3">
        <f>AVERAGE(I6:I13)</f>
        <v>12.778256834534321</v>
      </c>
      <c r="J15" s="3">
        <f>AVERAGE(J6:J13)</f>
        <v>193834.37038194839</v>
      </c>
      <c r="K15" s="8">
        <f>AVERAGE(K6:K13)</f>
        <v>4.6025</v>
      </c>
      <c r="L15" s="3">
        <f>AVERAGE(L6:L13)</f>
        <v>68.037316362337705</v>
      </c>
      <c r="M15" s="3">
        <f>AVERAGE(M6:M13)</f>
        <v>2097962.1291355346</v>
      </c>
      <c r="N15" s="3">
        <f>AVERAGE(N6:N13)</f>
        <v>1657390.0820170722</v>
      </c>
      <c r="O15" s="3">
        <f>AVERAGE(O6:O13)</f>
        <v>14.168374132744519</v>
      </c>
      <c r="P15" s="3">
        <f>AVERAGE(P6:P13)</f>
        <v>1921745.5912467809</v>
      </c>
      <c r="Q15" s="8">
        <f>AVERAGE(Q6:Q13)</f>
        <v>-7.6770178980378745E-4</v>
      </c>
      <c r="R15" s="8">
        <f>AVERAGE(R6:R13)</f>
        <v>-9.5039311195160181E-2</v>
      </c>
    </row>
    <row r="16" spans="1:26" x14ac:dyDescent="0.25">
      <c r="A16" t="s">
        <v>18</v>
      </c>
      <c r="B16" s="1">
        <f>MIN(B6:B13)</f>
        <v>58.4</v>
      </c>
      <c r="C16" s="1">
        <f>MIN(C6:C13)</f>
        <v>440.82679999999999</v>
      </c>
      <c r="D16" s="1">
        <f>MIN(D6:D13)</f>
        <v>440826.8</v>
      </c>
      <c r="E16" s="1">
        <f>MIN(E6:E13)</f>
        <v>12.996407333520779</v>
      </c>
      <c r="F16" s="1">
        <f>MIN(F6:F13)</f>
        <v>6.4850000000000003E-3</v>
      </c>
      <c r="G16" s="1">
        <f>MIN(G6:G13)</f>
        <v>16</v>
      </c>
      <c r="H16" s="3">
        <f>MIN(H6:H13)</f>
        <v>135545.58869657372</v>
      </c>
      <c r="I16" s="3">
        <f>MIN(I6:I13)</f>
        <v>11.817063310661167</v>
      </c>
      <c r="J16" s="3">
        <f>MIN(J6:J13)</f>
        <v>60995.514913458173</v>
      </c>
      <c r="K16" s="8">
        <f>MIN(K6:K13)</f>
        <v>3.96</v>
      </c>
      <c r="L16" s="3">
        <f>MIN(L6:L13)</f>
        <v>45.498801973310087</v>
      </c>
      <c r="M16" s="3">
        <f>MIN(M6:M13)</f>
        <v>737760.48602539708</v>
      </c>
      <c r="N16" s="3">
        <f>MIN(N6:N13)</f>
        <v>582830.78396006371</v>
      </c>
      <c r="O16" s="3">
        <f>MIN(O6:O13)</f>
        <v>13.275652172704483</v>
      </c>
      <c r="P16" s="3">
        <f>MIN(P6:P13)</f>
        <v>472222.73667914333</v>
      </c>
      <c r="Q16" s="8">
        <f>MIN(Q6:Q13)</f>
        <v>-1.0602720859246606</v>
      </c>
      <c r="R16" s="8">
        <f>MIN(R6:R13)</f>
        <v>-0.90054244735544131</v>
      </c>
    </row>
    <row r="17" spans="1:18" x14ac:dyDescent="0.25">
      <c r="A17" t="s">
        <v>19</v>
      </c>
      <c r="B17" s="1">
        <f>MAX(B6:B13)</f>
        <v>298.5</v>
      </c>
      <c r="C17" s="1">
        <f>MAX(C6:C13)</f>
        <v>12437.944</v>
      </c>
      <c r="D17" s="1">
        <f>MAX(D6:D13)</f>
        <v>12437944</v>
      </c>
      <c r="E17" s="1">
        <f>MAX(E6:E13)</f>
        <v>16.336262358304271</v>
      </c>
      <c r="F17" s="1">
        <f>MAX(F6:F13)</f>
        <v>0.13209000000000001</v>
      </c>
      <c r="G17" s="1">
        <f>MAX(G6:G13)</f>
        <v>23</v>
      </c>
      <c r="H17" s="3">
        <f>MAX(H6:H13)</f>
        <v>1153881.8736674855</v>
      </c>
      <c r="I17" s="3">
        <f>MAX(I6:I13)</f>
        <v>13.958642358304271</v>
      </c>
      <c r="J17" s="3">
        <f>MAX(J6:J13)</f>
        <v>519246.84315036848</v>
      </c>
      <c r="K17" s="8">
        <f>MAX(K6:K13)</f>
        <v>5.19</v>
      </c>
      <c r="L17" s="3">
        <f>MAX(L6:L13)</f>
        <v>91.596825675242584</v>
      </c>
      <c r="M17" s="3">
        <f>MAX(M6:M13)</f>
        <v>5453197.0313145481</v>
      </c>
      <c r="N17" s="3">
        <f>MAX(N6:N13)</f>
        <v>4308025.6547384933</v>
      </c>
      <c r="O17" s="3">
        <f>MAX(O6:O13)</f>
        <v>15.275990272379611</v>
      </c>
      <c r="P17" s="3">
        <f>MAX(P6:P13)</f>
        <v>7511913.2993906699</v>
      </c>
      <c r="Q17" s="8">
        <f>MAX(Q6:Q13)</f>
        <v>1.2866009031738752</v>
      </c>
      <c r="R17" s="8">
        <f>MAX(R6:R13)</f>
        <v>1.1247045919131633</v>
      </c>
    </row>
    <row r="28" spans="1:18" x14ac:dyDescent="0.25">
      <c r="A28" s="20"/>
      <c r="B28" s="20"/>
      <c r="C28" s="19"/>
      <c r="D28" s="19"/>
      <c r="E28" s="19"/>
    </row>
    <row r="33" spans="3:12" ht="12.75" customHeight="1" x14ac:dyDescent="0.25"/>
    <row r="39" spans="3:12" x14ac:dyDescent="0.25">
      <c r="K39" t="s">
        <v>20</v>
      </c>
    </row>
    <row r="40" spans="3:12" ht="15.75" thickBot="1" x14ac:dyDescent="0.3">
      <c r="F40" s="1" t="s">
        <v>49</v>
      </c>
      <c r="G40" t="s">
        <v>50</v>
      </c>
    </row>
    <row r="41" spans="3:12" x14ac:dyDescent="0.25">
      <c r="C41" s="1" t="s">
        <v>47</v>
      </c>
      <c r="F41" s="1">
        <v>4.6025</v>
      </c>
      <c r="G41">
        <v>60</v>
      </c>
      <c r="K41" s="13" t="s">
        <v>21</v>
      </c>
      <c r="L41" s="13"/>
    </row>
    <row r="42" spans="3:12" x14ac:dyDescent="0.25">
      <c r="C42" s="1" t="s">
        <v>48</v>
      </c>
      <c r="F42" s="1">
        <v>3.96</v>
      </c>
      <c r="G42">
        <v>50</v>
      </c>
      <c r="K42" s="10" t="s">
        <v>22</v>
      </c>
      <c r="L42" s="10">
        <v>1</v>
      </c>
    </row>
    <row r="43" spans="3:12" x14ac:dyDescent="0.25">
      <c r="K43" s="10" t="s">
        <v>23</v>
      </c>
      <c r="L43" s="10">
        <v>1</v>
      </c>
    </row>
    <row r="44" spans="3:12" x14ac:dyDescent="0.25">
      <c r="K44" s="10" t="s">
        <v>24</v>
      </c>
      <c r="L44" s="10">
        <v>65535</v>
      </c>
    </row>
    <row r="45" spans="3:12" x14ac:dyDescent="0.25">
      <c r="K45" s="10" t="s">
        <v>25</v>
      </c>
      <c r="L45" s="10">
        <v>0</v>
      </c>
    </row>
    <row r="46" spans="3:12" ht="15.75" thickBot="1" x14ac:dyDescent="0.3">
      <c r="K46" s="11" t="s">
        <v>26</v>
      </c>
      <c r="L46" s="11">
        <v>2</v>
      </c>
    </row>
    <row r="47" spans="3:12" x14ac:dyDescent="0.25">
      <c r="F47" s="1">
        <f>EXP(1)</f>
        <v>2.7182818284590451</v>
      </c>
    </row>
    <row r="48" spans="3:12" ht="15.75" thickBot="1" x14ac:dyDescent="0.3">
      <c r="K48" t="s">
        <v>27</v>
      </c>
    </row>
    <row r="49" spans="11:21" x14ac:dyDescent="0.25">
      <c r="K49" s="12"/>
      <c r="L49" s="12" t="s">
        <v>32</v>
      </c>
      <c r="M49" s="12" t="s">
        <v>33</v>
      </c>
      <c r="N49" s="12" t="s">
        <v>34</v>
      </c>
      <c r="O49" s="12"/>
      <c r="P49" s="12"/>
      <c r="Q49" s="12" t="s">
        <v>35</v>
      </c>
      <c r="R49" s="12" t="s">
        <v>36</v>
      </c>
    </row>
    <row r="50" spans="11:21" x14ac:dyDescent="0.25">
      <c r="K50" s="10" t="s">
        <v>28</v>
      </c>
      <c r="L50" s="10">
        <v>1</v>
      </c>
      <c r="M50" s="10">
        <v>50</v>
      </c>
      <c r="N50" s="10">
        <v>50</v>
      </c>
      <c r="O50" s="10"/>
      <c r="P50" s="10"/>
      <c r="Q50" s="10" t="e">
        <v>#NUM!</v>
      </c>
      <c r="R50" s="10" t="e">
        <v>#NUM!</v>
      </c>
    </row>
    <row r="51" spans="11:21" x14ac:dyDescent="0.25">
      <c r="K51" s="10" t="s">
        <v>29</v>
      </c>
      <c r="L51" s="10">
        <v>0</v>
      </c>
      <c r="M51" s="10">
        <v>0</v>
      </c>
      <c r="N51" s="10">
        <v>65535</v>
      </c>
      <c r="O51" s="10"/>
      <c r="P51" s="10"/>
      <c r="Q51" s="10"/>
      <c r="R51" s="10"/>
    </row>
    <row r="52" spans="11:21" ht="15.75" thickBot="1" x14ac:dyDescent="0.3">
      <c r="K52" s="11" t="s">
        <v>30</v>
      </c>
      <c r="L52" s="11">
        <v>1</v>
      </c>
      <c r="M52" s="11">
        <v>50</v>
      </c>
      <c r="N52" s="11"/>
      <c r="O52" s="11"/>
      <c r="P52" s="11"/>
      <c r="Q52" s="11"/>
      <c r="R52" s="11"/>
    </row>
    <row r="53" spans="11:21" ht="15.75" thickBot="1" x14ac:dyDescent="0.3"/>
    <row r="54" spans="11:21" x14ac:dyDescent="0.25">
      <c r="K54" s="12"/>
      <c r="L54" s="12" t="s">
        <v>37</v>
      </c>
      <c r="M54" s="12" t="s">
        <v>25</v>
      </c>
      <c r="N54" s="12" t="s">
        <v>38</v>
      </c>
      <c r="O54" s="12"/>
      <c r="P54" s="12"/>
      <c r="Q54" s="12" t="s">
        <v>39</v>
      </c>
      <c r="R54" s="12" t="s">
        <v>40</v>
      </c>
      <c r="S54" s="12" t="s">
        <v>41</v>
      </c>
      <c r="T54" s="12" t="s">
        <v>42</v>
      </c>
      <c r="U54" s="12" t="s">
        <v>43</v>
      </c>
    </row>
    <row r="55" spans="11:21" x14ac:dyDescent="0.25">
      <c r="K55" s="10" t="s">
        <v>31</v>
      </c>
      <c r="L55" s="10">
        <v>-11.634241245136181</v>
      </c>
      <c r="M55" s="10">
        <v>0</v>
      </c>
      <c r="N55" s="10">
        <v>65535</v>
      </c>
      <c r="O55" s="10"/>
      <c r="P55" s="10"/>
      <c r="Q55" s="10" t="e">
        <v>#NUM!</v>
      </c>
      <c r="R55" s="10">
        <v>-11.634241245136181</v>
      </c>
      <c r="S55" s="10">
        <v>-11.634241245136181</v>
      </c>
      <c r="T55" s="10">
        <v>-11.634241245136181</v>
      </c>
      <c r="U55" s="10">
        <v>-11.634241245136181</v>
      </c>
    </row>
    <row r="56" spans="11:21" ht="15.75" thickBot="1" x14ac:dyDescent="0.3">
      <c r="K56" s="11" t="s">
        <v>44</v>
      </c>
      <c r="L56" s="11">
        <v>15.56420233463035</v>
      </c>
      <c r="M56" s="11">
        <v>0</v>
      </c>
      <c r="N56" s="11">
        <v>65535</v>
      </c>
      <c r="O56" s="11"/>
      <c r="P56" s="11"/>
      <c r="Q56" s="11" t="e">
        <v>#NUM!</v>
      </c>
      <c r="R56" s="11">
        <v>15.56420233463035</v>
      </c>
      <c r="S56" s="11">
        <v>15.56420233463035</v>
      </c>
      <c r="T56" s="11">
        <v>15.56420233463035</v>
      </c>
      <c r="U56" s="11">
        <v>15.56420233463035</v>
      </c>
    </row>
  </sheetData>
  <sortState xmlns:xlrd2="http://schemas.microsoft.com/office/spreadsheetml/2017/richdata2" ref="A6:R13">
    <sortCondition ref="A6:A13" customList="East,NoOil,Oil,Golf,Waterfall,Vulgaris,Vulgaris small,Ice"/>
  </sortState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D24" sqref="D24"/>
    </sheetView>
  </sheetViews>
  <sheetFormatPr defaultRowHeight="15" x14ac:dyDescent="0.25"/>
  <cols>
    <col min="1" max="1" width="12.140625" bestFit="1" customWidth="1"/>
    <col min="2" max="2" width="13.28515625" style="1" bestFit="1" customWidth="1"/>
    <col min="3" max="3" width="8.7109375" style="1"/>
    <col min="5" max="5" width="11" bestFit="1" customWidth="1"/>
    <col min="6" max="6" width="10.42578125" bestFit="1" customWidth="1"/>
    <col min="7" max="7" width="10.140625" customWidth="1"/>
    <col min="8" max="8" width="10.5703125" customWidth="1"/>
    <col min="10" max="10" width="12.5703125" customWidth="1"/>
  </cols>
  <sheetData>
    <row r="1" spans="1:11" x14ac:dyDescent="0.25">
      <c r="E1" s="7" t="s">
        <v>16</v>
      </c>
      <c r="F1" s="1">
        <v>0.9</v>
      </c>
      <c r="G1" s="7" t="s">
        <v>46</v>
      </c>
      <c r="H1" s="14">
        <v>-11.634241245136181</v>
      </c>
      <c r="J1" s="2">
        <v>5.3159824354496968E-2</v>
      </c>
      <c r="K1" s="15" t="s">
        <v>53</v>
      </c>
    </row>
    <row r="2" spans="1:11" x14ac:dyDescent="0.25">
      <c r="E2" s="7" t="s">
        <v>15</v>
      </c>
      <c r="F2" s="1">
        <v>0.5</v>
      </c>
      <c r="G2" s="7" t="s">
        <v>45</v>
      </c>
      <c r="H2" s="14">
        <v>15.56420233463035</v>
      </c>
    </row>
    <row r="4" spans="1:11" ht="46.5" x14ac:dyDescent="0.35">
      <c r="A4" s="4" t="s">
        <v>1</v>
      </c>
      <c r="B4" s="16" t="s">
        <v>56</v>
      </c>
      <c r="C4" s="5" t="s">
        <v>0</v>
      </c>
      <c r="D4" s="5" t="s">
        <v>10</v>
      </c>
      <c r="E4" s="5" t="s">
        <v>12</v>
      </c>
      <c r="F4" s="5" t="s">
        <v>13</v>
      </c>
      <c r="G4" s="6" t="s">
        <v>14</v>
      </c>
      <c r="H4" s="5" t="s">
        <v>51</v>
      </c>
      <c r="I4" s="6" t="s">
        <v>52</v>
      </c>
      <c r="J4" s="6" t="s">
        <v>54</v>
      </c>
      <c r="K4" s="6" t="s">
        <v>55</v>
      </c>
    </row>
    <row r="5" spans="1:11" x14ac:dyDescent="0.25">
      <c r="A5" t="s">
        <v>2</v>
      </c>
      <c r="B5" s="1">
        <v>21.1</v>
      </c>
      <c r="C5" s="2">
        <v>0.05</v>
      </c>
      <c r="D5" s="1">
        <v>15</v>
      </c>
      <c r="E5" s="9">
        <f>B5*EXP(C5*-1*D5)</f>
        <v>9.9669342628354105</v>
      </c>
      <c r="F5" s="9">
        <f>E5*F$1*F$2</f>
        <v>4.485120418275935</v>
      </c>
      <c r="G5" s="1">
        <v>4.71</v>
      </c>
      <c r="H5" s="3">
        <f>H$1+H$2*G5</f>
        <v>61.673151750972764</v>
      </c>
      <c r="I5" s="3">
        <f>F5*H5</f>
        <v>276.61151217771817</v>
      </c>
      <c r="J5" s="3">
        <f>I5*J$1</f>
        <v>14.704619401799297</v>
      </c>
      <c r="K5" s="2">
        <f>(LN(J5)-LN(B5))</f>
        <v>-0.36111135104159464</v>
      </c>
    </row>
    <row r="6" spans="1:11" x14ac:dyDescent="0.25">
      <c r="A6" t="s">
        <v>3</v>
      </c>
      <c r="B6" s="1">
        <v>75.2</v>
      </c>
      <c r="C6" s="2">
        <v>-0.01</v>
      </c>
      <c r="D6" s="1">
        <v>15</v>
      </c>
      <c r="E6" s="9">
        <f t="shared" ref="E6:E12" si="0">B6*EXP(C6*-1*D6)</f>
        <v>87.369935053166884</v>
      </c>
      <c r="F6" s="9">
        <f t="shared" ref="F6:F12" si="1">E6*F$1*F$2</f>
        <v>39.316470773925097</v>
      </c>
      <c r="G6" s="1">
        <v>4.33</v>
      </c>
      <c r="H6" s="3">
        <f t="shared" ref="H6:H12" si="2">H$1+H$2*G6</f>
        <v>55.758754863813238</v>
      </c>
      <c r="I6" s="3">
        <f t="shared" ref="I6:I12" si="3">F6*H6</f>
        <v>2192.237455993567</v>
      </c>
      <c r="J6" s="3">
        <f t="shared" ref="J6:J12" si="4">I6*J$1</f>
        <v>116.5389581039673</v>
      </c>
      <c r="K6" s="2">
        <f t="shared" ref="K6:K12" si="5">(LN(J6)-LN(B6))</f>
        <v>0.43807439047519647</v>
      </c>
    </row>
    <row r="7" spans="1:11" x14ac:dyDescent="0.25">
      <c r="A7" t="s">
        <v>4</v>
      </c>
      <c r="B7" s="1">
        <v>50.1</v>
      </c>
      <c r="C7" s="2">
        <v>7.0000000000000007E-2</v>
      </c>
      <c r="D7" s="1">
        <v>15</v>
      </c>
      <c r="E7" s="9">
        <f t="shared" si="0"/>
        <v>17.531881230468883</v>
      </c>
      <c r="F7" s="9">
        <f t="shared" si="1"/>
        <v>7.8893465537109977</v>
      </c>
      <c r="G7" s="1">
        <v>4.95</v>
      </c>
      <c r="H7" s="3">
        <f t="shared" si="2"/>
        <v>65.408560311284049</v>
      </c>
      <c r="I7" s="3">
        <f t="shared" si="3"/>
        <v>516.03079987502679</v>
      </c>
      <c r="J7" s="3">
        <f t="shared" si="4"/>
        <v>27.432106682867001</v>
      </c>
      <c r="K7" s="2">
        <f t="shared" si="5"/>
        <v>-0.60230690394436026</v>
      </c>
    </row>
    <row r="8" spans="1:11" x14ac:dyDescent="0.25">
      <c r="A8" t="s">
        <v>5</v>
      </c>
      <c r="B8" s="1">
        <v>15.5</v>
      </c>
      <c r="C8" s="2">
        <v>-0.02</v>
      </c>
      <c r="D8" s="1">
        <v>15</v>
      </c>
      <c r="E8" s="9">
        <f t="shared" si="0"/>
        <v>20.922811517428048</v>
      </c>
      <c r="F8" s="9">
        <f t="shared" si="1"/>
        <v>9.4152651828426226</v>
      </c>
      <c r="G8" s="1">
        <v>3.96</v>
      </c>
      <c r="H8" s="3">
        <f t="shared" si="2"/>
        <v>50.000000000000007</v>
      </c>
      <c r="I8" s="3">
        <f t="shared" si="3"/>
        <v>470.76325914213118</v>
      </c>
      <c r="J8" s="3">
        <f t="shared" si="4"/>
        <v>25.025692168546232</v>
      </c>
      <c r="K8" s="2">
        <f t="shared" si="5"/>
        <v>0.47906295997634452</v>
      </c>
    </row>
    <row r="9" spans="1:11" x14ac:dyDescent="0.25">
      <c r="A9" t="s">
        <v>6</v>
      </c>
      <c r="B9" s="1">
        <v>13.5</v>
      </c>
      <c r="C9" s="2">
        <v>-0.04</v>
      </c>
      <c r="D9" s="1">
        <v>15</v>
      </c>
      <c r="E9" s="9">
        <f t="shared" si="0"/>
        <v>24.598603805271871</v>
      </c>
      <c r="F9" s="9">
        <f t="shared" si="1"/>
        <v>11.069371712372343</v>
      </c>
      <c r="G9" s="1">
        <v>4.28</v>
      </c>
      <c r="H9" s="3">
        <f t="shared" si="2"/>
        <v>54.980544747081723</v>
      </c>
      <c r="I9" s="3">
        <f t="shared" si="3"/>
        <v>608.60008675416827</v>
      </c>
      <c r="J9" s="3">
        <f t="shared" si="4"/>
        <v>32.3530737139832</v>
      </c>
      <c r="K9" s="2">
        <f t="shared" si="5"/>
        <v>0.8740193453315519</v>
      </c>
    </row>
    <row r="10" spans="1:11" x14ac:dyDescent="0.25">
      <c r="A10" t="s">
        <v>7</v>
      </c>
      <c r="B10" s="1">
        <v>140.69999999999999</v>
      </c>
      <c r="C10" s="2">
        <v>0.08</v>
      </c>
      <c r="D10" s="1">
        <v>15</v>
      </c>
      <c r="E10" s="9">
        <f t="shared" si="0"/>
        <v>42.378025616046834</v>
      </c>
      <c r="F10" s="9">
        <f t="shared" si="1"/>
        <v>19.070111527221076</v>
      </c>
      <c r="G10" s="1">
        <v>4.46</v>
      </c>
      <c r="H10" s="3">
        <f t="shared" si="2"/>
        <v>57.782101167315176</v>
      </c>
      <c r="I10" s="3">
        <f t="shared" si="3"/>
        <v>1101.9111135378716</v>
      </c>
      <c r="J10" s="3">
        <f t="shared" si="4"/>
        <v>58.577401249941424</v>
      </c>
      <c r="K10" s="2">
        <f t="shared" si="5"/>
        <v>-0.87628098611617578</v>
      </c>
    </row>
    <row r="11" spans="1:11" x14ac:dyDescent="0.25">
      <c r="A11" t="s">
        <v>8</v>
      </c>
      <c r="B11" s="1">
        <v>41.7</v>
      </c>
      <c r="C11" s="2">
        <v>7.0000000000000007E-2</v>
      </c>
      <c r="D11" s="1">
        <v>15</v>
      </c>
      <c r="E11" s="9">
        <f t="shared" si="0"/>
        <v>14.592404137935178</v>
      </c>
      <c r="F11" s="9">
        <f t="shared" si="1"/>
        <v>6.5665818620708301</v>
      </c>
      <c r="G11" s="1">
        <v>5.19</v>
      </c>
      <c r="H11" s="3">
        <f t="shared" si="2"/>
        <v>69.143968871595348</v>
      </c>
      <c r="I11" s="3">
        <f t="shared" si="3"/>
        <v>454.03953186380807</v>
      </c>
      <c r="J11" s="3">
        <f t="shared" si="4"/>
        <v>24.136661763878067</v>
      </c>
      <c r="K11" s="2">
        <f t="shared" si="5"/>
        <v>-0.54676920919832472</v>
      </c>
    </row>
    <row r="12" spans="1:11" x14ac:dyDescent="0.25">
      <c r="A12" t="s">
        <v>9</v>
      </c>
      <c r="B12" s="1">
        <v>10.9</v>
      </c>
      <c r="C12" s="2">
        <v>-0.01</v>
      </c>
      <c r="D12" s="1">
        <v>15</v>
      </c>
      <c r="E12" s="9">
        <f t="shared" si="0"/>
        <v>12.663993245738286</v>
      </c>
      <c r="F12" s="9">
        <f t="shared" si="1"/>
        <v>5.6987969605822286</v>
      </c>
      <c r="G12" s="1">
        <v>4.9400000000000004</v>
      </c>
      <c r="H12" s="3">
        <f t="shared" si="2"/>
        <v>65.25291828793776</v>
      </c>
      <c r="I12" s="3">
        <f t="shared" si="3"/>
        <v>371.86313240842026</v>
      </c>
      <c r="J12" s="3">
        <f t="shared" si="4"/>
        <v>19.768178802744671</v>
      </c>
      <c r="K12" s="2">
        <f t="shared" si="5"/>
        <v>0.59531072447023359</v>
      </c>
    </row>
    <row r="14" spans="1:11" x14ac:dyDescent="0.25">
      <c r="A14" t="s">
        <v>17</v>
      </c>
      <c r="B14" s="3">
        <f>AVERAGE(B5:B12)</f>
        <v>46.087499999999999</v>
      </c>
      <c r="C14" s="1">
        <f t="shared" ref="C14:K14" si="6">AVERAGE(C5:C12)</f>
        <v>2.375E-2</v>
      </c>
      <c r="D14" s="1">
        <f t="shared" si="6"/>
        <v>15</v>
      </c>
      <c r="E14" s="3">
        <f t="shared" si="6"/>
        <v>28.753073608611423</v>
      </c>
      <c r="F14" s="3">
        <f t="shared" si="6"/>
        <v>12.938883123875142</v>
      </c>
      <c r="G14" s="8">
        <f t="shared" si="6"/>
        <v>4.6025</v>
      </c>
      <c r="H14" s="3">
        <f t="shared" si="6"/>
        <v>60.000000000000014</v>
      </c>
      <c r="I14" s="3">
        <f t="shared" si="6"/>
        <v>749.00711146908895</v>
      </c>
      <c r="J14" s="3">
        <f t="shared" si="6"/>
        <v>39.817086485965902</v>
      </c>
      <c r="K14" s="8">
        <f t="shared" si="6"/>
        <v>-1.2875589111560615E-7</v>
      </c>
    </row>
    <row r="15" spans="1:11" x14ac:dyDescent="0.25">
      <c r="A15" t="s">
        <v>18</v>
      </c>
      <c r="B15" s="1">
        <f>MIN(B5:B12)</f>
        <v>10.9</v>
      </c>
      <c r="C15" s="1">
        <f t="shared" ref="C15:K15" si="7">MIN(C5:C12)</f>
        <v>-0.04</v>
      </c>
      <c r="D15" s="1">
        <f t="shared" si="7"/>
        <v>15</v>
      </c>
      <c r="E15" s="3">
        <f t="shared" si="7"/>
        <v>9.9669342628354105</v>
      </c>
      <c r="F15" s="3">
        <f t="shared" si="7"/>
        <v>4.485120418275935</v>
      </c>
      <c r="G15" s="8">
        <f t="shared" si="7"/>
        <v>3.96</v>
      </c>
      <c r="H15" s="3">
        <f t="shared" si="7"/>
        <v>50.000000000000007</v>
      </c>
      <c r="I15" s="3">
        <f t="shared" si="7"/>
        <v>276.61151217771817</v>
      </c>
      <c r="J15" s="3">
        <f t="shared" si="7"/>
        <v>14.704619401799297</v>
      </c>
      <c r="K15" s="8">
        <f t="shared" si="7"/>
        <v>-0.87628098611617578</v>
      </c>
    </row>
    <row r="16" spans="1:11" x14ac:dyDescent="0.25">
      <c r="A16" t="s">
        <v>19</v>
      </c>
      <c r="B16" s="1">
        <f>MAX(B5:B12)</f>
        <v>140.69999999999999</v>
      </c>
      <c r="C16" s="1">
        <f t="shared" ref="C16:K16" si="8">MAX(C5:C12)</f>
        <v>0.08</v>
      </c>
      <c r="D16" s="1">
        <f t="shared" si="8"/>
        <v>15</v>
      </c>
      <c r="E16" s="3">
        <f t="shared" si="8"/>
        <v>87.369935053166884</v>
      </c>
      <c r="F16" s="3">
        <f t="shared" si="8"/>
        <v>39.316470773925097</v>
      </c>
      <c r="G16" s="8">
        <f t="shared" si="8"/>
        <v>5.19</v>
      </c>
      <c r="H16" s="3">
        <f t="shared" si="8"/>
        <v>69.143968871595348</v>
      </c>
      <c r="I16" s="3">
        <f t="shared" si="8"/>
        <v>2192.237455993567</v>
      </c>
      <c r="J16" s="3">
        <f t="shared" si="8"/>
        <v>116.5389581039673</v>
      </c>
      <c r="K16" s="8">
        <f t="shared" si="8"/>
        <v>0.8740193453315519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Total-per-pond</vt:lpstr>
      <vt:lpstr>per Liter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Melsisa DeSiervo</cp:lastModifiedBy>
  <cp:lastPrinted>2019-02-14T18:34:18Z</cp:lastPrinted>
  <dcterms:created xsi:type="dcterms:W3CDTF">2019-02-09T17:13:51Z</dcterms:created>
  <dcterms:modified xsi:type="dcterms:W3CDTF">2019-02-15T21:41:31Z</dcterms:modified>
</cp:coreProperties>
</file>