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"/>
    </mc:Choice>
  </mc:AlternateContent>
  <xr:revisionPtr revIDLastSave="0" documentId="13_ncr:1_{CD6BEC39-C4D3-45AF-9ADE-91E32D3C886B}" xr6:coauthVersionLast="40" xr6:coauthVersionMax="40" xr10:uidLastSave="{00000000-0000-0000-0000-000000000000}"/>
  <bookViews>
    <workbookView xWindow="-120" yWindow="-120" windowWidth="25440" windowHeight="15390" activeTab="1" xr2:uid="{00000000-000D-0000-FFFF-FFFF00000000}"/>
  </bookViews>
  <sheets>
    <sheet name="Total-per-pond" sheetId="1" r:id="rId1"/>
    <sheet name="per liter" sheetId="4" r:id="rId2"/>
  </sheets>
  <definedNames>
    <definedName name="solver_adj" localSheetId="1" hidden="1">'per liter'!$M$2</definedName>
    <definedName name="solver_adj" localSheetId="0" hidden="1">'Total-per-pond'!$N$2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'per liter'!$P$15</definedName>
    <definedName name="solver_opt" localSheetId="0" hidden="1">'Total-per-pond'!$Q$15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3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4" l="1"/>
  <c r="L6" i="4"/>
  <c r="I6" i="4"/>
  <c r="H6" i="4"/>
  <c r="G6" i="4"/>
  <c r="C15" i="4" l="1"/>
  <c r="G13" i="4"/>
  <c r="E47" i="4"/>
  <c r="K17" i="4"/>
  <c r="F17" i="4"/>
  <c r="E17" i="4"/>
  <c r="K16" i="4"/>
  <c r="F16" i="4"/>
  <c r="E16" i="4"/>
  <c r="K15" i="4"/>
  <c r="F15" i="4"/>
  <c r="E15" i="4"/>
  <c r="G10" i="4"/>
  <c r="D12" i="4"/>
  <c r="G11" i="4"/>
  <c r="G8" i="4"/>
  <c r="B8" i="4"/>
  <c r="G7" i="4"/>
  <c r="B7" i="4"/>
  <c r="B13" i="4"/>
  <c r="Y2" i="4"/>
  <c r="Y1" i="4"/>
  <c r="K15" i="1"/>
  <c r="K16" i="1"/>
  <c r="K17" i="1"/>
  <c r="C17" i="4" l="1"/>
  <c r="B15" i="4"/>
  <c r="C16" i="4"/>
  <c r="G9" i="4"/>
  <c r="H9" i="4" s="1"/>
  <c r="B17" i="4"/>
  <c r="G12" i="4"/>
  <c r="I12" i="4" s="1"/>
  <c r="L12" i="4" s="1"/>
  <c r="M12" i="4" s="1"/>
  <c r="N12" i="4" s="1"/>
  <c r="D11" i="4"/>
  <c r="H13" i="4"/>
  <c r="I13" i="4"/>
  <c r="L13" i="4" s="1"/>
  <c r="H8" i="4"/>
  <c r="I8" i="4"/>
  <c r="L8" i="4" s="1"/>
  <c r="I11" i="4"/>
  <c r="L11" i="4" s="1"/>
  <c r="M11" i="4" s="1"/>
  <c r="H11" i="4"/>
  <c r="I10" i="4"/>
  <c r="L10" i="4" s="1"/>
  <c r="M10" i="4" s="1"/>
  <c r="H10" i="4"/>
  <c r="H7" i="4"/>
  <c r="I7" i="4"/>
  <c r="L7" i="4" s="1"/>
  <c r="O11" i="4"/>
  <c r="Q11" i="4" s="1"/>
  <c r="D9" i="4"/>
  <c r="D13" i="4"/>
  <c r="D7" i="4"/>
  <c r="D8" i="4"/>
  <c r="B16" i="4"/>
  <c r="D6" i="4"/>
  <c r="D10" i="4"/>
  <c r="D7" i="1"/>
  <c r="E7" i="1" s="1"/>
  <c r="D8" i="1"/>
  <c r="H8" i="1" s="1"/>
  <c r="I8" i="1" s="1"/>
  <c r="D9" i="1"/>
  <c r="H9" i="1" s="1"/>
  <c r="I9" i="1" s="1"/>
  <c r="D10" i="1"/>
  <c r="H10" i="1" s="1"/>
  <c r="I10" i="1" s="1"/>
  <c r="D11" i="1"/>
  <c r="H11" i="1" s="1"/>
  <c r="I11" i="1" s="1"/>
  <c r="D12" i="1"/>
  <c r="H12" i="1" s="1"/>
  <c r="I12" i="1" s="1"/>
  <c r="D13" i="1"/>
  <c r="H13" i="1" s="1"/>
  <c r="I13" i="1" s="1"/>
  <c r="D6" i="1"/>
  <c r="H6" i="1" s="1"/>
  <c r="Z2" i="1"/>
  <c r="Z1" i="1"/>
  <c r="O12" i="4" l="1"/>
  <c r="Q12" i="4" s="1"/>
  <c r="O6" i="4"/>
  <c r="P6" i="4"/>
  <c r="H12" i="4"/>
  <c r="G17" i="4"/>
  <c r="I9" i="4"/>
  <c r="L9" i="4" s="1"/>
  <c r="M9" i="4" s="1"/>
  <c r="G15" i="4"/>
  <c r="P12" i="4"/>
  <c r="G16" i="4"/>
  <c r="N11" i="4"/>
  <c r="P11" i="4"/>
  <c r="D15" i="4"/>
  <c r="D17" i="4"/>
  <c r="D16" i="4"/>
  <c r="I15" i="4"/>
  <c r="I16" i="4"/>
  <c r="N10" i="4"/>
  <c r="P10" i="4"/>
  <c r="O13" i="4"/>
  <c r="Q13" i="4" s="1"/>
  <c r="M13" i="4"/>
  <c r="O8" i="4"/>
  <c r="Q8" i="4" s="1"/>
  <c r="M8" i="4"/>
  <c r="O7" i="4"/>
  <c r="Q7" i="4" s="1"/>
  <c r="M7" i="4"/>
  <c r="O10" i="4"/>
  <c r="Q10" i="4" s="1"/>
  <c r="O9" i="4"/>
  <c r="Q9" i="4" s="1"/>
  <c r="H7" i="1"/>
  <c r="I7" i="1" s="1"/>
  <c r="I6" i="1"/>
  <c r="I17" i="1" s="1"/>
  <c r="J6" i="1"/>
  <c r="E6" i="1"/>
  <c r="E12" i="1"/>
  <c r="E11" i="1"/>
  <c r="E8" i="1"/>
  <c r="I15" i="1"/>
  <c r="D16" i="1"/>
  <c r="E10" i="1"/>
  <c r="D15" i="1"/>
  <c r="D17" i="1"/>
  <c r="E13" i="1"/>
  <c r="E9" i="1"/>
  <c r="J7" i="1"/>
  <c r="M7" i="1" s="1"/>
  <c r="N7" i="1" s="1"/>
  <c r="B13" i="1"/>
  <c r="B8" i="1"/>
  <c r="B7" i="1"/>
  <c r="H16" i="4" l="1"/>
  <c r="M6" i="1"/>
  <c r="N6" i="1" s="1"/>
  <c r="I17" i="4"/>
  <c r="H15" i="4"/>
  <c r="H17" i="4"/>
  <c r="N9" i="4"/>
  <c r="P9" i="4"/>
  <c r="L15" i="4"/>
  <c r="L17" i="4"/>
  <c r="L16" i="4"/>
  <c r="N13" i="4"/>
  <c r="P13" i="4"/>
  <c r="N8" i="4"/>
  <c r="P8" i="4"/>
  <c r="N7" i="4"/>
  <c r="P7" i="4"/>
  <c r="B16" i="1"/>
  <c r="B15" i="1" s="1"/>
  <c r="B17" i="1" s="1"/>
  <c r="I16" i="1"/>
  <c r="P6" i="1"/>
  <c r="R6" i="1" s="1"/>
  <c r="E16" i="1"/>
  <c r="E15" i="1"/>
  <c r="E17" i="1"/>
  <c r="Q7" i="1"/>
  <c r="O7" i="1"/>
  <c r="P7" i="1"/>
  <c r="R7" i="1" s="1"/>
  <c r="Q6" i="1" l="1"/>
  <c r="O6" i="1"/>
  <c r="O16" i="4"/>
  <c r="Q6" i="4"/>
  <c r="O15" i="4"/>
  <c r="O17" i="4"/>
  <c r="M17" i="4"/>
  <c r="M16" i="4"/>
  <c r="M15" i="4"/>
  <c r="N6" i="4"/>
  <c r="F47" i="1"/>
  <c r="Q17" i="4" l="1"/>
  <c r="Q15" i="4"/>
  <c r="Q16" i="4"/>
  <c r="P15" i="4"/>
  <c r="P17" i="4"/>
  <c r="P16" i="4"/>
  <c r="N17" i="4"/>
  <c r="N16" i="4"/>
  <c r="N15" i="4"/>
  <c r="L16" i="1"/>
  <c r="L15" i="1" s="1"/>
  <c r="L17" i="1" l="1"/>
  <c r="G15" i="1" l="1"/>
  <c r="F16" i="1"/>
  <c r="F15" i="1" s="1"/>
  <c r="G16" i="1"/>
  <c r="G17" i="1"/>
  <c r="C16" i="1"/>
  <c r="C17" i="1" s="1"/>
  <c r="C15" i="1"/>
  <c r="J9" i="1"/>
  <c r="J10" i="1"/>
  <c r="J11" i="1"/>
  <c r="J12" i="1"/>
  <c r="M12" i="1" s="1"/>
  <c r="J13" i="1"/>
  <c r="M11" i="1" l="1"/>
  <c r="P11" i="1" s="1"/>
  <c r="R11" i="1" s="1"/>
  <c r="M13" i="1"/>
  <c r="P13" i="1" s="1"/>
  <c r="R13" i="1" s="1"/>
  <c r="M10" i="1"/>
  <c r="P10" i="1" s="1"/>
  <c r="R10" i="1" s="1"/>
  <c r="M9" i="1"/>
  <c r="P9" i="1" s="1"/>
  <c r="R9" i="1" s="1"/>
  <c r="F17" i="1"/>
  <c r="J8" i="1"/>
  <c r="H16" i="1"/>
  <c r="H15" i="1" s="1"/>
  <c r="H17" i="1" s="1"/>
  <c r="N9" i="1" l="1"/>
  <c r="N13" i="1"/>
  <c r="M8" i="1"/>
  <c r="P8" i="1" s="1"/>
  <c r="R8" i="1" s="1"/>
  <c r="N10" i="1"/>
  <c r="N11" i="1"/>
  <c r="J16" i="1"/>
  <c r="J17" i="1"/>
  <c r="J15" i="1"/>
  <c r="Q10" i="1" l="1"/>
  <c r="O10" i="1"/>
  <c r="Q13" i="1"/>
  <c r="O13" i="1"/>
  <c r="Q11" i="1"/>
  <c r="O11" i="1"/>
  <c r="Q9" i="1"/>
  <c r="O9" i="1"/>
  <c r="M16" i="1"/>
  <c r="M15" i="1"/>
  <c r="M17" i="1" s="1"/>
  <c r="N8" i="1"/>
  <c r="P12" i="1"/>
  <c r="R12" i="1" s="1"/>
  <c r="N12" i="1"/>
  <c r="Q8" i="1" l="1"/>
  <c r="O8" i="1"/>
  <c r="Q12" i="1"/>
  <c r="Q15" i="1" s="1"/>
  <c r="O12" i="1"/>
  <c r="N15" i="1"/>
  <c r="N16" i="1"/>
  <c r="P17" i="1"/>
  <c r="P16" i="1"/>
  <c r="P15" i="1"/>
  <c r="N17" i="1"/>
  <c r="Q16" i="1" l="1"/>
  <c r="O16" i="1"/>
  <c r="O15" i="1"/>
  <c r="O17" i="1"/>
  <c r="R15" i="1"/>
  <c r="R17" i="1"/>
  <c r="R16" i="1"/>
  <c r="Q17" i="1"/>
  <c r="J17" i="4"/>
  <c r="J15" i="4"/>
  <c r="J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</author>
  </authors>
  <commentList>
    <comment ref="N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This value is set such that average neonates next spring = average neonates this spring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</author>
    <author>tc={BE7CC15A-391B-4F01-A834-CAF9EC50406F}</author>
  </authors>
  <commentList>
    <comment ref="M2" authorId="0" shapeId="0" xr:uid="{C550512B-99BD-416F-9CAF-DCD273359BDE}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This value is set such that average neonates next spring = average neonates this spring</t>
        </r>
      </text>
    </comment>
    <comment ref="E5" authorId="1" shapeId="0" xr:uid="{BE7CC15A-391B-4F01-A834-CAF9EC50406F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the mortality estimates generated from abundance estimates</t>
      </text>
    </comment>
  </commentList>
</comments>
</file>

<file path=xl/sharedStrings.xml><?xml version="1.0" encoding="utf-8"?>
<sst xmlns="http://schemas.openxmlformats.org/spreadsheetml/2006/main" count="97" uniqueCount="50">
  <si>
    <t>m</t>
  </si>
  <si>
    <t>Pond</t>
  </si>
  <si>
    <t>East</t>
  </si>
  <si>
    <t>NoOil</t>
  </si>
  <si>
    <t>Oil</t>
  </si>
  <si>
    <t>Golf</t>
  </si>
  <si>
    <t>Waterfall</t>
  </si>
  <si>
    <t>Vulgaris</t>
  </si>
  <si>
    <t>Vulgaris small</t>
  </si>
  <si>
    <t>Ice</t>
  </si>
  <si>
    <t>days</t>
  </si>
  <si>
    <r>
      <rPr>
        <i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neonates</t>
    </r>
    <r>
      <rPr>
        <sz val="11"/>
        <color theme="1"/>
        <rFont val="Calibri"/>
        <family val="2"/>
        <scheme val="minor"/>
      </rPr>
      <t xml:space="preserve"> (K)</t>
    </r>
  </si>
  <si>
    <r>
      <rPr>
        <i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Adult females</t>
    </r>
  </si>
  <si>
    <t>Prop. Females =</t>
  </si>
  <si>
    <t>Survival pre-imago to adult =</t>
  </si>
  <si>
    <t>Average</t>
  </si>
  <si>
    <t>min</t>
  </si>
  <si>
    <t>max</t>
  </si>
  <si>
    <t>Standard Error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</si>
  <si>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</si>
  <si>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</si>
  <si>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</si>
  <si>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</si>
  <si>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</si>
  <si>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</si>
  <si>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</si>
  <si>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</si>
  <si>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</si>
  <si>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</si>
  <si>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</si>
  <si>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</si>
  <si>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high</t>
  </si>
  <si>
    <t>low</t>
  </si>
  <si>
    <t>mm</t>
  </si>
  <si>
    <t>eggs</t>
  </si>
  <si>
    <t>Fecundity</t>
  </si>
  <si>
    <t>Eggs to winter</t>
  </si>
  <si>
    <t>= Surv egg-neonate</t>
  </si>
  <si>
    <t>Neonates next spring</t>
  </si>
  <si>
    <t>R</t>
  </si>
  <si>
    <t>Pond perim</t>
  </si>
  <si>
    <t>R2</t>
  </si>
  <si>
    <t>Neonates next spring if dependent on pond area</t>
  </si>
  <si>
    <t>Prob blood meal from Culler et al.</t>
  </si>
  <si>
    <t>ln(Nneonates)</t>
  </si>
  <si>
    <t>Nneonates</t>
  </si>
  <si>
    <r>
      <rPr>
        <i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pre-imago</t>
    </r>
    <r>
      <rPr>
        <sz val="11"/>
        <color theme="1"/>
        <rFont val="Calibri"/>
        <family val="2"/>
        <scheme val="minor"/>
      </rPr>
      <t xml:space="preserve"> </t>
    </r>
  </si>
  <si>
    <t>ln(Npre-imago )</t>
  </si>
  <si>
    <t>lnNeonates next spring</t>
  </si>
  <si>
    <t>Wing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</si>
</sst>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5" fontId="0" fillId="0" borderId="0" xfId="0" applyNumberFormat="1" applyFill="1" applyBorder="1" applyAlignment="1">
      <alignment horizontal="center"/>
    </xf>
    <xf numFmtId="0" fontId="0" fillId="0" borderId="0" xfId="0" quotePrefix="1"/>
    <xf numFmtId="2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ill="1"/>
    <xf numFmtId="0" fontId="5" fillId="0" borderId="0" xfId="0" applyFont="1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1159230096237"/>
          <c:y val="5.0925925925925923E-2"/>
          <c:w val="0.82365507436570429"/>
          <c:h val="0.78570246427529888"/>
        </c:manualLayout>
      </c:layout>
      <c:scatterChart>
        <c:scatterStyle val="lineMarker"/>
        <c:varyColors val="0"/>
        <c:ser>
          <c:idx val="7"/>
          <c:order val="0"/>
          <c:tx>
            <c:strRef>
              <c:f>'Total-per-pond'!$C$5</c:f>
              <c:strCache>
                <c:ptCount val="1"/>
                <c:pt idx="0">
                  <c:v>Nneonates 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0.26111029128351965"/>
                  <c:y val="-0.62148386963440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'Total-per-pond'!$C$6:$C$13</c:f>
              <c:numCache>
                <c:formatCode>0.00</c:formatCode>
                <c:ptCount val="8"/>
                <c:pt idx="0">
                  <c:v>860.50379999999996</c:v>
                </c:pt>
                <c:pt idx="1">
                  <c:v>1283.5956000000001</c:v>
                </c:pt>
                <c:pt idx="2">
                  <c:v>1982.8803</c:v>
                </c:pt>
                <c:pt idx="3">
                  <c:v>663.87159999999994</c:v>
                </c:pt>
                <c:pt idx="4">
                  <c:v>717.29430000000002</c:v>
                </c:pt>
                <c:pt idx="5">
                  <c:v>12437.944</c:v>
                </c:pt>
                <c:pt idx="6">
                  <c:v>2960.5018</c:v>
                </c:pt>
                <c:pt idx="7">
                  <c:v>440.82679999999999</c:v>
                </c:pt>
              </c:numCache>
            </c:numRef>
          </c:xVal>
          <c:yVal>
            <c:numRef>
              <c:f>'Total-per-pond'!$Q$6:$Q$13</c:f>
              <c:numCache>
                <c:formatCode>0.000</c:formatCode>
                <c:ptCount val="8"/>
                <c:pt idx="0">
                  <c:v>-0.38232992022553525</c:v>
                </c:pt>
                <c:pt idx="1">
                  <c:v>0.1582477790501855</c:v>
                </c:pt>
                <c:pt idx="2">
                  <c:v>-0.49277829445138899</c:v>
                </c:pt>
                <c:pt idx="3">
                  <c:v>0.88854421298749919</c:v>
                </c:pt>
                <c:pt idx="4">
                  <c:v>0.27202517650085056</c:v>
                </c:pt>
                <c:pt idx="5">
                  <c:v>-1.0284505697201656</c:v>
                </c:pt>
                <c:pt idx="6">
                  <c:v>-0.70143078719529584</c:v>
                </c:pt>
                <c:pt idx="7">
                  <c:v>1.3284134213937246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28-4172-8C1E-9F4A4906B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logBase val="10"/>
          <c:orientation val="minMax"/>
          <c:max val="1500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 neonates (K)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</a:t>
            </a:r>
            <a:r>
              <a:rPr lang="en-US" baseline="0"/>
              <a:t> this year) vs ln(N next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 liter'!$D$6:$D$13</c:f>
              <c:numCache>
                <c:formatCode>0.00</c:formatCode>
                <c:ptCount val="8"/>
                <c:pt idx="0">
                  <c:v>3.0492730404820207</c:v>
                </c:pt>
                <c:pt idx="1">
                  <c:v>4.3201512309557941</c:v>
                </c:pt>
                <c:pt idx="2">
                  <c:v>3.9140210080908191</c:v>
                </c:pt>
                <c:pt idx="3">
                  <c:v>2.7408400239252009</c:v>
                </c:pt>
                <c:pt idx="4">
                  <c:v>2.6026896854443837</c:v>
                </c:pt>
                <c:pt idx="5">
                  <c:v>4.9466299641203433</c:v>
                </c:pt>
                <c:pt idx="6">
                  <c:v>3.730501128804756</c:v>
                </c:pt>
                <c:pt idx="7">
                  <c:v>2.33214389523559</c:v>
                </c:pt>
              </c:numCache>
            </c:numRef>
          </c:xVal>
          <c:yVal>
            <c:numRef>
              <c:f>'per liter'!$N$6:$N$13</c:f>
              <c:numCache>
                <c:formatCode>0.00</c:formatCode>
                <c:ptCount val="8"/>
                <c:pt idx="0">
                  <c:v>2.660751150008565</c:v>
                </c:pt>
                <c:pt idx="1">
                  <c:v>4.4722070397580591</c:v>
                </c:pt>
                <c:pt idx="2">
                  <c:v>3.4150507433915092</c:v>
                </c:pt>
                <c:pt idx="3">
                  <c:v>3.6231922666647809</c:v>
                </c:pt>
                <c:pt idx="4">
                  <c:v>2.8685228916973124</c:v>
                </c:pt>
                <c:pt idx="5">
                  <c:v>3.9119874241522563</c:v>
                </c:pt>
                <c:pt idx="6">
                  <c:v>3.0228783713615393</c:v>
                </c:pt>
                <c:pt idx="7">
                  <c:v>3.6543653463813932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F-4934-886F-AB81BA4B8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95200"/>
        <c:axId val="628595528"/>
      </c:scatterChart>
      <c:valAx>
        <c:axId val="6285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ln(N) this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5528"/>
        <c:crosses val="autoZero"/>
        <c:crossBetween val="midCat"/>
      </c:valAx>
      <c:valAx>
        <c:axId val="62859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ln(N) next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6747047244095"/>
          <c:y val="3.7534326804190797E-2"/>
          <c:w val="0.80490501968503947"/>
          <c:h val="0.78570246427529888"/>
        </c:manualLayout>
      </c:layout>
      <c:scatterChart>
        <c:scatterStyle val="lineMarker"/>
        <c:varyColors val="0"/>
        <c:ser>
          <c:idx val="7"/>
          <c:order val="0"/>
          <c:tx>
            <c:strRef>
              <c:f>'Total-per-pond'!$C$5</c:f>
              <c:strCache>
                <c:ptCount val="1"/>
                <c:pt idx="0">
                  <c:v>Nneonates 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167495706096227"/>
                  <c:y val="-0.62201489046542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'Total-per-pond'!$F$6:$F$13</c:f>
              <c:numCache>
                <c:formatCode>0.000</c:formatCode>
                <c:ptCount val="8"/>
                <c:pt idx="0">
                  <c:v>8.8010000000000005E-2</c:v>
                </c:pt>
                <c:pt idx="1">
                  <c:v>6.6629999999999995E-2</c:v>
                </c:pt>
                <c:pt idx="2">
                  <c:v>0.10172</c:v>
                </c:pt>
                <c:pt idx="3">
                  <c:v>6.4850000000000003E-3</c:v>
                </c:pt>
                <c:pt idx="4">
                  <c:v>4.02E-2</c:v>
                </c:pt>
                <c:pt idx="5">
                  <c:v>0.13209000000000001</c:v>
                </c:pt>
                <c:pt idx="6">
                  <c:v>0.12966</c:v>
                </c:pt>
                <c:pt idx="7">
                  <c:v>1.345E-2</c:v>
                </c:pt>
              </c:numCache>
            </c:numRef>
          </c:xVal>
          <c:yVal>
            <c:numRef>
              <c:f>'Total-per-pond'!$Q$6:$Q$13</c:f>
              <c:numCache>
                <c:formatCode>0.000</c:formatCode>
                <c:ptCount val="8"/>
                <c:pt idx="0">
                  <c:v>-0.38232992022553525</c:v>
                </c:pt>
                <c:pt idx="1">
                  <c:v>0.1582477790501855</c:v>
                </c:pt>
                <c:pt idx="2">
                  <c:v>-0.49277829445138899</c:v>
                </c:pt>
                <c:pt idx="3">
                  <c:v>0.88854421298749919</c:v>
                </c:pt>
                <c:pt idx="4">
                  <c:v>0.27202517650085056</c:v>
                </c:pt>
                <c:pt idx="5">
                  <c:v>-1.0284505697201656</c:v>
                </c:pt>
                <c:pt idx="6">
                  <c:v>-0.70143078719529584</c:v>
                </c:pt>
                <c:pt idx="7">
                  <c:v>1.3284134213937246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0-460C-B7C2-1D1550F9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Mortality rate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  <c:majorUnit val="5.000000000000001E-2"/>
        <c:minorUnit val="1.0000000000000002E-2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0180455488388"/>
          <c:y val="3.7534326804190797E-2"/>
          <c:w val="0.81057081037674827"/>
          <c:h val="0.78570246427529888"/>
        </c:manualLayout>
      </c:layout>
      <c:scatterChart>
        <c:scatterStyle val="lineMarker"/>
        <c:varyColors val="0"/>
        <c:ser>
          <c:idx val="7"/>
          <c:order val="0"/>
          <c:tx>
            <c:strRef>
              <c:f>'Total-per-pond'!$C$5</c:f>
              <c:strCache>
                <c:ptCount val="1"/>
                <c:pt idx="0">
                  <c:v>Nneonates 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7608188049341515"/>
                  <c:y val="2.858380740684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'Total-per-pond'!$L$6:$L$13</c:f>
              <c:numCache>
                <c:formatCode>General</c:formatCode>
                <c:ptCount val="8"/>
                <c:pt idx="0">
                  <c:v>69.900000000000006</c:v>
                </c:pt>
                <c:pt idx="1">
                  <c:v>54.9</c:v>
                </c:pt>
                <c:pt idx="2">
                  <c:v>75.400000000000006</c:v>
                </c:pt>
                <c:pt idx="3">
                  <c:v>44.1</c:v>
                </c:pt>
                <c:pt idx="4">
                  <c:v>53.4</c:v>
                </c:pt>
                <c:pt idx="5">
                  <c:v>62.2</c:v>
                </c:pt>
                <c:pt idx="6">
                  <c:v>94</c:v>
                </c:pt>
                <c:pt idx="7">
                  <c:v>81.900000000000006</c:v>
                </c:pt>
              </c:numCache>
            </c:numRef>
          </c:xVal>
          <c:yVal>
            <c:numRef>
              <c:f>'Total-per-pond'!$Q$6:$Q$13</c:f>
              <c:numCache>
                <c:formatCode>0.000</c:formatCode>
                <c:ptCount val="8"/>
                <c:pt idx="0">
                  <c:v>-0.38232992022553525</c:v>
                </c:pt>
                <c:pt idx="1">
                  <c:v>0.1582477790501855</c:v>
                </c:pt>
                <c:pt idx="2">
                  <c:v>-0.49277829445138899</c:v>
                </c:pt>
                <c:pt idx="3">
                  <c:v>0.88854421298749919</c:v>
                </c:pt>
                <c:pt idx="4">
                  <c:v>0.27202517650085056</c:v>
                </c:pt>
                <c:pt idx="5">
                  <c:v>-1.0284505697201656</c:v>
                </c:pt>
                <c:pt idx="6">
                  <c:v>-0.70143078719529584</c:v>
                </c:pt>
                <c:pt idx="7">
                  <c:v>1.3284134213937246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1-409B-BCC1-AB754268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orientation val="minMax"/>
          <c:max val="100"/>
          <c:min val="4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Fecundity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69340691387935"/>
          <c:y val="3.7534326804190797E-2"/>
          <c:w val="0.7935089844538662"/>
          <c:h val="0.78570246427529888"/>
        </c:manualLayout>
      </c:layout>
      <c:scatterChart>
        <c:scatterStyle val="lineMarker"/>
        <c:varyColors val="0"/>
        <c:ser>
          <c:idx val="7"/>
          <c:order val="0"/>
          <c:tx>
            <c:strRef>
              <c:f>'Total-per-pond'!$F$5</c:f>
              <c:strCache>
                <c:ptCount val="1"/>
                <c:pt idx="0">
                  <c:v>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0.56632151859204571"/>
                  <c:y val="7.019957901301941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'Total-per-pond'!$C$6:$C$13</c:f>
              <c:numCache>
                <c:formatCode>0.00</c:formatCode>
                <c:ptCount val="8"/>
                <c:pt idx="0">
                  <c:v>860.50379999999996</c:v>
                </c:pt>
                <c:pt idx="1">
                  <c:v>1283.5956000000001</c:v>
                </c:pt>
                <c:pt idx="2">
                  <c:v>1982.8803</c:v>
                </c:pt>
                <c:pt idx="3">
                  <c:v>663.87159999999994</c:v>
                </c:pt>
                <c:pt idx="4">
                  <c:v>717.29430000000002</c:v>
                </c:pt>
                <c:pt idx="5">
                  <c:v>12437.944</c:v>
                </c:pt>
                <c:pt idx="6">
                  <c:v>2960.5018</c:v>
                </c:pt>
                <c:pt idx="7">
                  <c:v>440.82679999999999</c:v>
                </c:pt>
              </c:numCache>
            </c:numRef>
          </c:xVal>
          <c:yVal>
            <c:numRef>
              <c:f>'Total-per-pond'!$F$6:$F$13</c:f>
              <c:numCache>
                <c:formatCode>0.000</c:formatCode>
                <c:ptCount val="8"/>
                <c:pt idx="0">
                  <c:v>8.8010000000000005E-2</c:v>
                </c:pt>
                <c:pt idx="1">
                  <c:v>6.6629999999999995E-2</c:v>
                </c:pt>
                <c:pt idx="2">
                  <c:v>0.10172</c:v>
                </c:pt>
                <c:pt idx="3">
                  <c:v>6.4850000000000003E-3</c:v>
                </c:pt>
                <c:pt idx="4">
                  <c:v>4.02E-2</c:v>
                </c:pt>
                <c:pt idx="5">
                  <c:v>0.13209000000000001</c:v>
                </c:pt>
                <c:pt idx="6">
                  <c:v>0.12966</c:v>
                </c:pt>
                <c:pt idx="7">
                  <c:v>1.345E-2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D-4DAA-A375-284F60E49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logBase val="10"/>
          <c:orientation val="minMax"/>
          <c:max val="1300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Population size (K)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</c:valAx>
      <c:valAx>
        <c:axId val="1707981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mortality rate</a:t>
                </a:r>
              </a:p>
            </c:rich>
          </c:tx>
          <c:layout>
            <c:manualLayout>
              <c:xMode val="edge"/>
              <c:yMode val="edge"/>
              <c:x val="2.7778899432442739E-3"/>
              <c:y val="0.20806573091407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</a:t>
            </a:r>
            <a:r>
              <a:rPr lang="en-US" baseline="0"/>
              <a:t> this year) vs ln(N next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'Total-per-pond'!$E$6:$E$13</c:f>
              <c:numCache>
                <c:formatCode>0.00</c:formatCode>
                <c:ptCount val="8"/>
                <c:pt idx="0">
                  <c:v>13.665273310661169</c:v>
                </c:pt>
                <c:pt idx="1">
                  <c:v>14.065175760352817</c:v>
                </c:pt>
                <c:pt idx="2">
                  <c:v>14.500061042593776</c:v>
                </c:pt>
                <c:pt idx="3">
                  <c:v>13.405844036265531</c:v>
                </c:pt>
                <c:pt idx="4">
                  <c:v>13.483241495617039</c:v>
                </c:pt>
                <c:pt idx="5">
                  <c:v>16.336262358304271</c:v>
                </c:pt>
                <c:pt idx="6">
                  <c:v>14.900869338959188</c:v>
                </c:pt>
                <c:pt idx="7">
                  <c:v>12.996407333520779</c:v>
                </c:pt>
              </c:numCache>
            </c:numRef>
          </c:xVal>
          <c:yVal>
            <c:numRef>
              <c:f>'Total-per-pond'!$O$6:$O$13</c:f>
              <c:numCache>
                <c:formatCode>0.00</c:formatCode>
                <c:ptCount val="8"/>
                <c:pt idx="0">
                  <c:v>13.282943390435634</c:v>
                </c:pt>
                <c:pt idx="1">
                  <c:v>14.223423539403003</c:v>
                </c:pt>
                <c:pt idx="2">
                  <c:v>14.007282748142387</c:v>
                </c:pt>
                <c:pt idx="3">
                  <c:v>14.29438824925303</c:v>
                </c:pt>
                <c:pt idx="4">
                  <c:v>13.755266672117889</c:v>
                </c:pt>
                <c:pt idx="5">
                  <c:v>15.307811788584106</c:v>
                </c:pt>
                <c:pt idx="6">
                  <c:v>14.199438551763892</c:v>
                </c:pt>
                <c:pt idx="7">
                  <c:v>14.324820754914503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E-4548-9390-C37E6A426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95200"/>
        <c:axId val="628595528"/>
      </c:scatterChart>
      <c:valAx>
        <c:axId val="628595200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ln(N) this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5528"/>
        <c:crosses val="autoZero"/>
        <c:crossBetween val="midCat"/>
      </c:valAx>
      <c:valAx>
        <c:axId val="628595528"/>
        <c:scaling>
          <c:orientation val="minMax"/>
          <c:max val="20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ln(N) next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1159230096237"/>
          <c:y val="5.0925925925925923E-2"/>
          <c:w val="0.82365507436570429"/>
          <c:h val="0.78570246427529888"/>
        </c:manualLayout>
      </c:layout>
      <c:scatterChart>
        <c:scatterStyle val="lineMarker"/>
        <c:varyColors val="0"/>
        <c:ser>
          <c:idx val="7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0.26111029128351965"/>
                  <c:y val="-0.62148386963440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 liter'!#REF!</c:f>
            </c:numRef>
          </c:xVal>
          <c:yVal>
            <c:numRef>
              <c:f>'per liter'!$P$6:$P$13</c:f>
              <c:numCache>
                <c:formatCode>0.000</c:formatCode>
                <c:ptCount val="8"/>
                <c:pt idx="0">
                  <c:v>-0.38852189047345576</c:v>
                </c:pt>
                <c:pt idx="1">
                  <c:v>0.15205580880226499</c:v>
                </c:pt>
                <c:pt idx="2">
                  <c:v>-0.49897026469930994</c:v>
                </c:pt>
                <c:pt idx="3">
                  <c:v>0.88235224273958002</c:v>
                </c:pt>
                <c:pt idx="4">
                  <c:v>0.26583320625292872</c:v>
                </c:pt>
                <c:pt idx="5">
                  <c:v>-1.034642539968087</c:v>
                </c:pt>
                <c:pt idx="6">
                  <c:v>-0.70762275744321679</c:v>
                </c:pt>
                <c:pt idx="7">
                  <c:v>1.3222214511458033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'per liter'!#REF!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2F7-43DB-B614-67220E205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 neonates (K)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6747047244095"/>
          <c:y val="3.7534326804190797E-2"/>
          <c:w val="0.80490501968503947"/>
          <c:h val="0.78570246427529888"/>
        </c:manualLayout>
      </c:layout>
      <c:scatterChart>
        <c:scatterStyle val="lineMarker"/>
        <c:varyColors val="0"/>
        <c:ser>
          <c:idx val="7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167495706096227"/>
                  <c:y val="-0.62201489046542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 liter'!$E$6:$E$13</c:f>
              <c:numCache>
                <c:formatCode>0.000</c:formatCode>
                <c:ptCount val="8"/>
                <c:pt idx="0">
                  <c:v>8.8010000000000005E-2</c:v>
                </c:pt>
                <c:pt idx="1">
                  <c:v>6.6629999999999995E-2</c:v>
                </c:pt>
                <c:pt idx="2">
                  <c:v>0.10172</c:v>
                </c:pt>
                <c:pt idx="3">
                  <c:v>6.4850000000000003E-3</c:v>
                </c:pt>
                <c:pt idx="4">
                  <c:v>4.02E-2</c:v>
                </c:pt>
                <c:pt idx="5">
                  <c:v>0.13209000000000001</c:v>
                </c:pt>
                <c:pt idx="6">
                  <c:v>0.12966</c:v>
                </c:pt>
                <c:pt idx="7">
                  <c:v>1.345E-2</c:v>
                </c:pt>
              </c:numCache>
            </c:numRef>
          </c:xVal>
          <c:yVal>
            <c:numRef>
              <c:f>'per liter'!$P$6:$P$13</c:f>
              <c:numCache>
                <c:formatCode>0.000</c:formatCode>
                <c:ptCount val="8"/>
                <c:pt idx="0">
                  <c:v>-0.38852189047345576</c:v>
                </c:pt>
                <c:pt idx="1">
                  <c:v>0.15205580880226499</c:v>
                </c:pt>
                <c:pt idx="2">
                  <c:v>-0.49897026469930994</c:v>
                </c:pt>
                <c:pt idx="3">
                  <c:v>0.88235224273958002</c:v>
                </c:pt>
                <c:pt idx="4">
                  <c:v>0.26583320625292872</c:v>
                </c:pt>
                <c:pt idx="5">
                  <c:v>-1.034642539968087</c:v>
                </c:pt>
                <c:pt idx="6">
                  <c:v>-0.70762275744321679</c:v>
                </c:pt>
                <c:pt idx="7">
                  <c:v>1.3222214511458033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'per liter'!#REF!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E4-4BED-884A-5C34598A4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Mortality rate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  <c:majorUnit val="5.000000000000001E-2"/>
        <c:minorUnit val="1.0000000000000002E-2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0180455488388"/>
          <c:y val="3.7534326804190797E-2"/>
          <c:w val="0.81057081037674827"/>
          <c:h val="0.78570246427529888"/>
        </c:manualLayout>
      </c:layout>
      <c:scatterChart>
        <c:scatterStyle val="lineMarker"/>
        <c:varyColors val="0"/>
        <c:ser>
          <c:idx val="7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7608188049341515"/>
                  <c:y val="2.858380740684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 liter'!$K$6:$K$13</c:f>
              <c:numCache>
                <c:formatCode>General</c:formatCode>
                <c:ptCount val="8"/>
                <c:pt idx="0">
                  <c:v>69.900000000000006</c:v>
                </c:pt>
                <c:pt idx="1">
                  <c:v>54.9</c:v>
                </c:pt>
                <c:pt idx="2">
                  <c:v>75.400000000000006</c:v>
                </c:pt>
                <c:pt idx="3">
                  <c:v>44.1</c:v>
                </c:pt>
                <c:pt idx="4">
                  <c:v>53.4</c:v>
                </c:pt>
                <c:pt idx="5">
                  <c:v>62.2</c:v>
                </c:pt>
                <c:pt idx="6">
                  <c:v>94</c:v>
                </c:pt>
                <c:pt idx="7">
                  <c:v>81.900000000000006</c:v>
                </c:pt>
              </c:numCache>
            </c:numRef>
          </c:xVal>
          <c:yVal>
            <c:numRef>
              <c:f>'per liter'!$P$6:$P$13</c:f>
              <c:numCache>
                <c:formatCode>0.000</c:formatCode>
                <c:ptCount val="8"/>
                <c:pt idx="0">
                  <c:v>-0.38852189047345576</c:v>
                </c:pt>
                <c:pt idx="1">
                  <c:v>0.15205580880226499</c:v>
                </c:pt>
                <c:pt idx="2">
                  <c:v>-0.49897026469930994</c:v>
                </c:pt>
                <c:pt idx="3">
                  <c:v>0.88235224273958002</c:v>
                </c:pt>
                <c:pt idx="4">
                  <c:v>0.26583320625292872</c:v>
                </c:pt>
                <c:pt idx="5">
                  <c:v>-1.034642539968087</c:v>
                </c:pt>
                <c:pt idx="6">
                  <c:v>-0.70762275744321679</c:v>
                </c:pt>
                <c:pt idx="7">
                  <c:v>1.3222214511458033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'per liter'!#REF!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540-4122-B1AF-1273824C3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Fecundity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</c:valAx>
      <c:valAx>
        <c:axId val="1707981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69340691387935"/>
          <c:y val="3.7534326804190797E-2"/>
          <c:w val="0.7935089844538662"/>
          <c:h val="0.78570246427529888"/>
        </c:manualLayout>
      </c:layout>
      <c:scatterChart>
        <c:scatterStyle val="lineMarker"/>
        <c:varyColors val="0"/>
        <c:ser>
          <c:idx val="7"/>
          <c:order val="0"/>
          <c:tx>
            <c:strRef>
              <c:f>'per liter'!$E$5</c:f>
              <c:strCache>
                <c:ptCount val="1"/>
                <c:pt idx="0">
                  <c:v>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0.56632151859204571"/>
                  <c:y val="7.019957901301941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 liter'!#REF!</c:f>
            </c:numRef>
          </c:xVal>
          <c:yVal>
            <c:numRef>
              <c:f>'per liter'!$E$6:$E$13</c:f>
              <c:numCache>
                <c:formatCode>0.000</c:formatCode>
                <c:ptCount val="8"/>
                <c:pt idx="0">
                  <c:v>8.8010000000000005E-2</c:v>
                </c:pt>
                <c:pt idx="1">
                  <c:v>6.6629999999999995E-2</c:v>
                </c:pt>
                <c:pt idx="2">
                  <c:v>0.10172</c:v>
                </c:pt>
                <c:pt idx="3">
                  <c:v>6.4850000000000003E-3</c:v>
                </c:pt>
                <c:pt idx="4">
                  <c:v>4.02E-2</c:v>
                </c:pt>
                <c:pt idx="5">
                  <c:v>0.13209000000000001</c:v>
                </c:pt>
                <c:pt idx="6">
                  <c:v>0.12966</c:v>
                </c:pt>
                <c:pt idx="7">
                  <c:v>1.345E-2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C-4983-B446-B6E79244F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Population size (K)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</c:valAx>
      <c:valAx>
        <c:axId val="1707981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mortality rate</a:t>
                </a:r>
              </a:p>
            </c:rich>
          </c:tx>
          <c:layout>
            <c:manualLayout>
              <c:xMode val="edge"/>
              <c:yMode val="edge"/>
              <c:x val="2.7778899432442739E-3"/>
              <c:y val="0.20806573091407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546100</xdr:colOff>
      <xdr:row>4</xdr:row>
      <xdr:rowOff>50800</xdr:rowOff>
    </xdr:from>
    <xdr:to>
      <xdr:col>29</xdr:col>
      <xdr:colOff>209550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571500</xdr:colOff>
      <xdr:row>16</xdr:row>
      <xdr:rowOff>146050</xdr:rowOff>
    </xdr:from>
    <xdr:to>
      <xdr:col>29</xdr:col>
      <xdr:colOff>177800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537634</xdr:colOff>
      <xdr:row>17</xdr:row>
      <xdr:rowOff>124884</xdr:rowOff>
    </xdr:from>
    <xdr:to>
      <xdr:col>18</xdr:col>
      <xdr:colOff>366184</xdr:colOff>
      <xdr:row>31</xdr:row>
      <xdr:rowOff>112184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336550</xdr:colOff>
      <xdr:row>7</xdr:row>
      <xdr:rowOff>6350</xdr:rowOff>
    </xdr:from>
    <xdr:to>
      <xdr:col>34</xdr:col>
      <xdr:colOff>260350</xdr:colOff>
      <xdr:row>16</xdr:row>
      <xdr:rowOff>82550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7214850" y="1930400"/>
          <a:ext cx="29718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Ponds with lower initial abundance</a:t>
          </a:r>
          <a:r>
            <a:rPr lang="en-US" sz="1100" baseline="0"/>
            <a:t> tended to have higher survival and ton contribute more mosquito eggs to the next generation.</a:t>
          </a:r>
          <a:endParaRPr lang="en-US" sz="1100"/>
        </a:p>
        <a:p>
          <a:endParaRPr lang="en-US" sz="1100"/>
        </a:p>
        <a:p>
          <a:r>
            <a:rPr lang="en-US" sz="1100"/>
            <a:t>However, larger ponds</a:t>
          </a:r>
          <a:r>
            <a:rPr lang="en-US" sz="1100" baseline="0"/>
            <a:t> might have higher survival of neonates because there is a bigger target for ovipositing females. This is not considered in this model. All ponds assumed to have the same survival from egg to to neonate.</a:t>
          </a:r>
          <a:endParaRPr lang="en-US" sz="1100"/>
        </a:p>
      </xdr:txBody>
    </xdr:sp>
    <xdr:clientData/>
  </xdr:twoCellAnchor>
  <xdr:twoCellAnchor>
    <xdr:from>
      <xdr:col>29</xdr:col>
      <xdr:colOff>323850</xdr:colOff>
      <xdr:row>19</xdr:row>
      <xdr:rowOff>114300</xdr:rowOff>
    </xdr:from>
    <xdr:to>
      <xdr:col>33</xdr:col>
      <xdr:colOff>419100</xdr:colOff>
      <xdr:row>25</xdr:row>
      <xdr:rowOff>101600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7202150" y="4324350"/>
          <a:ext cx="2533650" cy="113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Mortality rate during larval development is a strong</a:t>
          </a:r>
          <a:r>
            <a:rPr lang="en-US" sz="1100" baseline="0"/>
            <a:t> driver of population trajectories. Fecundity is trivial at best (even goes in the wrong direction).</a:t>
          </a:r>
          <a:endParaRPr lang="en-US" sz="1100"/>
        </a:p>
      </xdr:txBody>
    </xdr:sp>
    <xdr:clientData/>
  </xdr:twoCellAnchor>
  <xdr:twoCellAnchor>
    <xdr:from>
      <xdr:col>20</xdr:col>
      <xdr:colOff>590550</xdr:colOff>
      <xdr:row>31</xdr:row>
      <xdr:rowOff>57150</xdr:rowOff>
    </xdr:from>
    <xdr:to>
      <xdr:col>29</xdr:col>
      <xdr:colOff>171450</xdr:colOff>
      <xdr:row>45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</xdr:row>
      <xdr:rowOff>35718</xdr:rowOff>
    </xdr:from>
    <xdr:to>
      <xdr:col>16</xdr:col>
      <xdr:colOff>452437</xdr:colOff>
      <xdr:row>4</xdr:row>
      <xdr:rowOff>23812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92D37B6-9214-49D3-B6C5-DE587441DBA3}"/>
            </a:ext>
          </a:extLst>
        </xdr:cNvPr>
        <xdr:cNvSpPr txBox="1"/>
      </xdr:nvSpPr>
      <xdr:spPr>
        <a:xfrm>
          <a:off x="5357813" y="226218"/>
          <a:ext cx="3036093" cy="369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Eggs~wing</a:t>
          </a:r>
          <a:r>
            <a:rPr lang="en-US" sz="1100" baseline="0"/>
            <a:t> length + Wing length ^2.7078</a:t>
          </a:r>
          <a:endParaRPr lang="en-US" sz="1100"/>
        </a:p>
      </xdr:txBody>
    </xdr:sp>
    <xdr:clientData/>
  </xdr:twoCellAnchor>
  <xdr:twoCellAnchor>
    <xdr:from>
      <xdr:col>2</xdr:col>
      <xdr:colOff>406978</xdr:colOff>
      <xdr:row>18</xdr:row>
      <xdr:rowOff>187037</xdr:rowOff>
    </xdr:from>
    <xdr:to>
      <xdr:col>7</xdr:col>
      <xdr:colOff>736023</xdr:colOff>
      <xdr:row>33</xdr:row>
      <xdr:rowOff>98714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E0D3DB-EDB0-41AE-94E6-615D6C0BA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546100</xdr:colOff>
      <xdr:row>4</xdr:row>
      <xdr:rowOff>50800</xdr:rowOff>
    </xdr:from>
    <xdr:to>
      <xdr:col>28</xdr:col>
      <xdr:colOff>209550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0648B-AEDF-4F67-A416-AEAEF3515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571500</xdr:colOff>
      <xdr:row>16</xdr:row>
      <xdr:rowOff>146050</xdr:rowOff>
    </xdr:from>
    <xdr:to>
      <xdr:col>28</xdr:col>
      <xdr:colOff>177800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5153EA-D89D-4D1B-91A3-93CD79B7F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537634</xdr:colOff>
      <xdr:row>17</xdr:row>
      <xdr:rowOff>124884</xdr:rowOff>
    </xdr:from>
    <xdr:to>
      <xdr:col>17</xdr:col>
      <xdr:colOff>366184</xdr:colOff>
      <xdr:row>31</xdr:row>
      <xdr:rowOff>112184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C899B7-8885-490E-A34B-328869F77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336550</xdr:colOff>
      <xdr:row>7</xdr:row>
      <xdr:rowOff>6350</xdr:rowOff>
    </xdr:from>
    <xdr:to>
      <xdr:col>33</xdr:col>
      <xdr:colOff>260350</xdr:colOff>
      <xdr:row>16</xdr:row>
      <xdr:rowOff>82550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1B151D6-884F-495E-A0D1-8A79EC60DF48}"/>
            </a:ext>
          </a:extLst>
        </xdr:cNvPr>
        <xdr:cNvSpPr txBox="1"/>
      </xdr:nvSpPr>
      <xdr:spPr>
        <a:xfrm>
          <a:off x="23539450" y="1930400"/>
          <a:ext cx="29718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Ponds with lower initial abundance</a:t>
          </a:r>
          <a:r>
            <a:rPr lang="en-US" sz="1100" baseline="0"/>
            <a:t> tended to have higher survival and ton contribute more mosquito eggs to the next generation.</a:t>
          </a:r>
          <a:endParaRPr lang="en-US" sz="1100"/>
        </a:p>
        <a:p>
          <a:endParaRPr lang="en-US" sz="1100"/>
        </a:p>
        <a:p>
          <a:r>
            <a:rPr lang="en-US" sz="1100"/>
            <a:t>However, larger ponds</a:t>
          </a:r>
          <a:r>
            <a:rPr lang="en-US" sz="1100" baseline="0"/>
            <a:t> might have higher survival of neonates because there is a bigger target for ovipositing females. This is not considered in this model. All ponds assumed to have the same survival from egg to to neonate.</a:t>
          </a:r>
          <a:endParaRPr lang="en-US" sz="1100"/>
        </a:p>
      </xdr:txBody>
    </xdr:sp>
    <xdr:clientData/>
  </xdr:twoCellAnchor>
  <xdr:twoCellAnchor>
    <xdr:from>
      <xdr:col>28</xdr:col>
      <xdr:colOff>323850</xdr:colOff>
      <xdr:row>19</xdr:row>
      <xdr:rowOff>114300</xdr:rowOff>
    </xdr:from>
    <xdr:to>
      <xdr:col>32</xdr:col>
      <xdr:colOff>419100</xdr:colOff>
      <xdr:row>25</xdr:row>
      <xdr:rowOff>101600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0D7FB14-E711-466C-B4DE-4BAB8B46B90F}"/>
            </a:ext>
          </a:extLst>
        </xdr:cNvPr>
        <xdr:cNvSpPr txBox="1"/>
      </xdr:nvSpPr>
      <xdr:spPr>
        <a:xfrm>
          <a:off x="23526750" y="4324350"/>
          <a:ext cx="2533650" cy="113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Mortality rate during larval development is a strong</a:t>
          </a:r>
          <a:r>
            <a:rPr lang="en-US" sz="1100" baseline="0"/>
            <a:t> driver of population trajectories. Fecundity is trivial at best (even goes in the wrong direction).</a:t>
          </a:r>
          <a:endParaRPr lang="en-US" sz="1100"/>
        </a:p>
      </xdr:txBody>
    </xdr:sp>
    <xdr:clientData/>
  </xdr:twoCellAnchor>
  <xdr:twoCellAnchor>
    <xdr:from>
      <xdr:col>19</xdr:col>
      <xdr:colOff>590550</xdr:colOff>
      <xdr:row>31</xdr:row>
      <xdr:rowOff>57150</xdr:rowOff>
    </xdr:from>
    <xdr:to>
      <xdr:col>28</xdr:col>
      <xdr:colOff>171450</xdr:colOff>
      <xdr:row>45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8682F6-2160-404B-B075-0758161A9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</xdr:row>
      <xdr:rowOff>35718</xdr:rowOff>
    </xdr:from>
    <xdr:to>
      <xdr:col>15</xdr:col>
      <xdr:colOff>452437</xdr:colOff>
      <xdr:row>4</xdr:row>
      <xdr:rowOff>23812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CC5AC53-BE43-4762-9B78-654B52B0011C}"/>
            </a:ext>
          </a:extLst>
        </xdr:cNvPr>
        <xdr:cNvSpPr txBox="1"/>
      </xdr:nvSpPr>
      <xdr:spPr>
        <a:xfrm>
          <a:off x="9448800" y="416718"/>
          <a:ext cx="4938712" cy="369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Eggs~wing</a:t>
          </a:r>
          <a:r>
            <a:rPr lang="en-US" sz="1100" baseline="0"/>
            <a:t> length + Wing length ^2.7078</a:t>
          </a:r>
          <a:endParaRPr lang="en-US" sz="1100"/>
        </a:p>
      </xdr:txBody>
    </xdr:sp>
    <xdr:clientData/>
  </xdr:twoCellAnchor>
  <xdr:twoCellAnchor>
    <xdr:from>
      <xdr:col>2</xdr:col>
      <xdr:colOff>0</xdr:colOff>
      <xdr:row>18</xdr:row>
      <xdr:rowOff>187037</xdr:rowOff>
    </xdr:from>
    <xdr:to>
      <xdr:col>6</xdr:col>
      <xdr:colOff>736023</xdr:colOff>
      <xdr:row>33</xdr:row>
      <xdr:rowOff>98714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05E78E-5B65-43E3-A766-833CF13FE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elissa DeSiervo" id="{9929F625-9A57-4E28-BC33-80DC8FC9044E}" userId="b56cc5c5c2f0ee2c" providerId="Windows Live"/>
</personList>
</file>

<file path=xl/theme/theme1.xml><?xml version="1.0" encoding="utf-8"?>
<a:theme xmlns:a="http://schemas.openxmlformats.org/drawingml/2006/main" name="Theme-Matt">
  <a:themeElements>
    <a:clrScheme name="Office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Them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heme-Matt" id="{13085A22-E384-47D7-8545-ECC2564F5C8A}" vid="{6CF9E396-A896-4E54-86D3-B82BA64B1DD2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19-02-21T19:57:25.98" personId="{9929F625-9A57-4E28-BC33-80DC8FC9044E}" id="{BE7CC15A-391B-4F01-A834-CAF9EC50406F}">
    <text>Used the mortality estimates generated from abundance estimates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"/>
  <sheetViews>
    <sheetView topLeftCell="H1" zoomScale="90" zoomScaleNormal="90" workbookViewId="0">
      <selection activeCell="F6" sqref="F6:F13"/>
    </sheetView>
  </sheetViews>
  <sheetFormatPr defaultRowHeight="15" x14ac:dyDescent="0.25"/>
  <cols>
    <col min="1" max="1" width="12.140625" bestFit="1" customWidth="1"/>
    <col min="2" max="2" width="12.140625" customWidth="1"/>
    <col min="3" max="3" width="13.28515625" style="1" bestFit="1" customWidth="1"/>
    <col min="4" max="4" width="19.28515625" style="1" customWidth="1"/>
    <col min="5" max="5" width="13.28515625" style="1" customWidth="1"/>
    <col min="6" max="6" width="8.7109375" style="1"/>
    <col min="8" max="9" width="14.85546875" customWidth="1"/>
    <col min="10" max="10" width="10.42578125" bestFit="1" customWidth="1"/>
    <col min="11" max="11" width="13.5703125" customWidth="1"/>
    <col min="12" max="12" width="10.5703125" customWidth="1"/>
    <col min="13" max="13" width="13" customWidth="1"/>
    <col min="14" max="14" width="12.5703125" customWidth="1"/>
    <col min="15" max="15" width="14.5703125" customWidth="1"/>
    <col min="16" max="16" width="16.5703125" customWidth="1"/>
    <col min="17" max="17" width="13.5703125" customWidth="1"/>
    <col min="22" max="23" width="15.5703125" customWidth="1"/>
    <col min="24" max="24" width="12" customWidth="1"/>
  </cols>
  <sheetData>
    <row r="1" spans="1:26" x14ac:dyDescent="0.25">
      <c r="N1">
        <v>0.17</v>
      </c>
      <c r="O1" t="s">
        <v>43</v>
      </c>
      <c r="V1" s="19">
        <v>129288.2</v>
      </c>
      <c r="W1" s="19">
        <v>227929.2</v>
      </c>
      <c r="Z1">
        <f>LN(V1)</f>
        <v>11.76979929996126</v>
      </c>
    </row>
    <row r="2" spans="1:26" x14ac:dyDescent="0.25">
      <c r="H2" s="7" t="s">
        <v>14</v>
      </c>
      <c r="I2" s="1">
        <v>0.9</v>
      </c>
      <c r="L2" s="13">
        <v>2.7078250000000001</v>
      </c>
      <c r="N2" s="2">
        <v>0.81</v>
      </c>
      <c r="O2" s="14" t="s">
        <v>37</v>
      </c>
      <c r="P2" s="2"/>
      <c r="V2" s="19">
        <v>635673.69999999995</v>
      </c>
      <c r="W2" s="19">
        <v>30647.21</v>
      </c>
      <c r="X2" s="19"/>
      <c r="Z2">
        <f>LN(V2)</f>
        <v>13.362440660352449</v>
      </c>
    </row>
    <row r="3" spans="1:26" x14ac:dyDescent="0.25">
      <c r="H3" s="7" t="s">
        <v>13</v>
      </c>
      <c r="I3" s="1">
        <v>0.5</v>
      </c>
      <c r="L3" s="13"/>
    </row>
    <row r="5" spans="1:26" ht="61.5" x14ac:dyDescent="0.35">
      <c r="A5" s="4" t="s">
        <v>1</v>
      </c>
      <c r="B5" s="4" t="s">
        <v>40</v>
      </c>
      <c r="C5" s="5" t="s">
        <v>11</v>
      </c>
      <c r="D5" s="5" t="s">
        <v>45</v>
      </c>
      <c r="E5" s="5" t="s">
        <v>44</v>
      </c>
      <c r="F5" s="5" t="s">
        <v>0</v>
      </c>
      <c r="G5" s="5" t="s">
        <v>10</v>
      </c>
      <c r="H5" s="5" t="s">
        <v>46</v>
      </c>
      <c r="I5" s="5" t="s">
        <v>47</v>
      </c>
      <c r="J5" s="5" t="s">
        <v>12</v>
      </c>
      <c r="K5" s="6" t="s">
        <v>49</v>
      </c>
      <c r="L5" s="5" t="s">
        <v>35</v>
      </c>
      <c r="M5" s="6" t="s">
        <v>36</v>
      </c>
      <c r="N5" s="6" t="s">
        <v>38</v>
      </c>
      <c r="O5" s="6" t="s">
        <v>48</v>
      </c>
      <c r="P5" s="6" t="s">
        <v>42</v>
      </c>
      <c r="Q5" s="6" t="s">
        <v>39</v>
      </c>
      <c r="R5" s="6" t="s">
        <v>41</v>
      </c>
    </row>
    <row r="6" spans="1:26" x14ac:dyDescent="0.25">
      <c r="A6" t="s">
        <v>2</v>
      </c>
      <c r="B6">
        <v>138.70000000000002</v>
      </c>
      <c r="C6" s="15">
        <v>860.50379999999996</v>
      </c>
      <c r="D6" s="15">
        <f t="shared" ref="D6:D13" si="0">C6*1000</f>
        <v>860503.79999999993</v>
      </c>
      <c r="E6" s="15">
        <f t="shared" ref="E6:E13" si="1">LN(D6)</f>
        <v>13.665273310661169</v>
      </c>
      <c r="F6" s="16">
        <v>8.8010000000000005E-2</v>
      </c>
      <c r="G6" s="1">
        <v>21</v>
      </c>
      <c r="H6" s="3">
        <f t="shared" ref="H6:H13" si="2">D6*EXP(-1*F6*G6)</f>
        <v>135545.58869657372</v>
      </c>
      <c r="I6" s="3">
        <f t="shared" ref="I6:I13" si="3">LN(H6)</f>
        <v>11.817063310661167</v>
      </c>
      <c r="J6" s="3">
        <f t="shared" ref="J6:J13" si="4">H6*I$2*I$3</f>
        <v>60995.514913458173</v>
      </c>
      <c r="K6" s="19">
        <v>4.66</v>
      </c>
      <c r="L6" s="19">
        <v>69.900000000000006</v>
      </c>
      <c r="M6" s="3">
        <f t="shared" ref="M6:M13" si="5">J6*L6*$N$1</f>
        <v>724809.70371662348</v>
      </c>
      <c r="N6" s="3">
        <f t="shared" ref="N6:N13" si="6">M6*N$2</f>
        <v>587095.86001046502</v>
      </c>
      <c r="O6" s="8">
        <f t="shared" ref="O6:O13" si="7">LN(N6)</f>
        <v>13.282943390435634</v>
      </c>
      <c r="P6" s="3">
        <f t="shared" ref="P6:P13" si="8">(B6/$B$15)*$N$2*M6</f>
        <v>475678.39815086679</v>
      </c>
      <c r="Q6" s="2">
        <f t="shared" ref="Q6:Q13" si="9">(LN(N6)-LN(D6))</f>
        <v>-0.38232992022553525</v>
      </c>
      <c r="R6">
        <f t="shared" ref="R6:R13" si="10">(LN(P6)-LN(D6))</f>
        <v>-0.59277603992804728</v>
      </c>
    </row>
    <row r="7" spans="1:26" x14ac:dyDescent="0.25">
      <c r="A7" t="s">
        <v>3</v>
      </c>
      <c r="B7">
        <f>7.9+8.8+6.1+9.4+8.9+8.5+3+5.8</f>
        <v>58.4</v>
      </c>
      <c r="C7" s="15">
        <v>1283.5956000000001</v>
      </c>
      <c r="D7" s="15">
        <f t="shared" si="0"/>
        <v>1283595.6000000001</v>
      </c>
      <c r="E7" s="15">
        <f t="shared" si="1"/>
        <v>14.065175760352817</v>
      </c>
      <c r="F7" s="16">
        <v>6.6629999999999995E-2</v>
      </c>
      <c r="G7" s="1">
        <v>16</v>
      </c>
      <c r="H7" s="3">
        <f t="shared" si="2"/>
        <v>442013.52509442641</v>
      </c>
      <c r="I7" s="3">
        <f t="shared" si="3"/>
        <v>12.999095760352818</v>
      </c>
      <c r="J7" s="3">
        <f t="shared" si="4"/>
        <v>198906.08629249188</v>
      </c>
      <c r="K7" s="19">
        <v>4.24</v>
      </c>
      <c r="L7" s="19">
        <v>54.9</v>
      </c>
      <c r="M7" s="3">
        <f t="shared" si="5"/>
        <v>1856390.5033678266</v>
      </c>
      <c r="N7" s="3">
        <f t="shared" si="6"/>
        <v>1503676.3077279397</v>
      </c>
      <c r="O7" s="8">
        <f t="shared" si="7"/>
        <v>14.223423539403003</v>
      </c>
      <c r="P7" s="3">
        <f t="shared" si="8"/>
        <v>512973.76485614706</v>
      </c>
      <c r="Q7" s="2">
        <f t="shared" si="9"/>
        <v>0.1582477790501855</v>
      </c>
      <c r="R7">
        <f t="shared" si="10"/>
        <v>-0.91719577813892883</v>
      </c>
    </row>
    <row r="8" spans="1:26" x14ac:dyDescent="0.25">
      <c r="A8" t="s">
        <v>4</v>
      </c>
      <c r="B8">
        <f>8.2+5.3+5.3+8.1+5.4+9.4+2.7+10.8+8.1+8.8+4.8+11.6+4.3+11+5.2+4.4+9.3+9.8</f>
        <v>132.5</v>
      </c>
      <c r="C8" s="15">
        <v>1982.8803</v>
      </c>
      <c r="D8" s="15">
        <f t="shared" si="0"/>
        <v>1982880.3</v>
      </c>
      <c r="E8" s="15">
        <f t="shared" si="1"/>
        <v>14.500061042593776</v>
      </c>
      <c r="F8" s="16">
        <v>0.10172</v>
      </c>
      <c r="G8" s="1">
        <v>20</v>
      </c>
      <c r="H8" s="3">
        <f t="shared" si="2"/>
        <v>259279.2752559426</v>
      </c>
      <c r="I8" s="3">
        <f t="shared" si="3"/>
        <v>12.465661042593776</v>
      </c>
      <c r="J8" s="3">
        <f t="shared" si="4"/>
        <v>116675.67386517418</v>
      </c>
      <c r="K8" s="19">
        <v>4.8</v>
      </c>
      <c r="L8" s="19">
        <v>75.400000000000006</v>
      </c>
      <c r="M8" s="3">
        <f t="shared" si="5"/>
        <v>1495548.7876038027</v>
      </c>
      <c r="N8" s="3">
        <f t="shared" si="6"/>
        <v>1211394.5179590804</v>
      </c>
      <c r="O8" s="8">
        <f t="shared" si="7"/>
        <v>14.007282748142387</v>
      </c>
      <c r="P8" s="3">
        <f t="shared" si="8"/>
        <v>937625.54876715958</v>
      </c>
      <c r="Q8" s="2">
        <f t="shared" si="9"/>
        <v>-0.49277829445138899</v>
      </c>
      <c r="R8">
        <f t="shared" si="10"/>
        <v>-0.74895509604840882</v>
      </c>
    </row>
    <row r="9" spans="1:26" x14ac:dyDescent="0.25">
      <c r="A9" t="s">
        <v>5</v>
      </c>
      <c r="B9">
        <v>151.5</v>
      </c>
      <c r="C9" s="15">
        <v>663.87159999999994</v>
      </c>
      <c r="D9" s="15">
        <f t="shared" si="0"/>
        <v>663871.6</v>
      </c>
      <c r="E9" s="15">
        <f t="shared" si="1"/>
        <v>13.405844036265531</v>
      </c>
      <c r="F9" s="16">
        <v>6.4850000000000003E-3</v>
      </c>
      <c r="G9" s="1">
        <v>18</v>
      </c>
      <c r="H9" s="3">
        <f t="shared" si="2"/>
        <v>590729.82104322035</v>
      </c>
      <c r="I9" s="3">
        <f t="shared" si="3"/>
        <v>13.289114036265531</v>
      </c>
      <c r="J9" s="3">
        <f t="shared" si="4"/>
        <v>265828.41946944915</v>
      </c>
      <c r="K9" s="19">
        <v>3.9</v>
      </c>
      <c r="L9" s="19">
        <v>44.1</v>
      </c>
      <c r="M9" s="3">
        <f t="shared" si="5"/>
        <v>1992915.6607624604</v>
      </c>
      <c r="N9" s="3">
        <f t="shared" si="6"/>
        <v>1614261.6852175931</v>
      </c>
      <c r="O9" s="8">
        <f t="shared" si="7"/>
        <v>14.29438824925303</v>
      </c>
      <c r="P9" s="3">
        <f t="shared" si="8"/>
        <v>1428612.7509921305</v>
      </c>
      <c r="Q9" s="2">
        <f t="shared" si="9"/>
        <v>0.88854421298749919</v>
      </c>
      <c r="R9">
        <f t="shared" si="10"/>
        <v>0.76637039091362702</v>
      </c>
    </row>
    <row r="10" spans="1:26" x14ac:dyDescent="0.25">
      <c r="A10" t="s">
        <v>6</v>
      </c>
      <c r="B10">
        <v>206.1</v>
      </c>
      <c r="C10" s="15">
        <v>717.29430000000002</v>
      </c>
      <c r="D10" s="15">
        <f t="shared" si="0"/>
        <v>717294.3</v>
      </c>
      <c r="E10" s="15">
        <f t="shared" si="1"/>
        <v>13.483241495617039</v>
      </c>
      <c r="F10" s="16">
        <v>4.02E-2</v>
      </c>
      <c r="G10" s="1">
        <v>23</v>
      </c>
      <c r="H10" s="3">
        <f t="shared" si="2"/>
        <v>284543.5213214854</v>
      </c>
      <c r="I10" s="3">
        <f t="shared" si="3"/>
        <v>12.558641495617039</v>
      </c>
      <c r="J10" s="3">
        <f t="shared" si="4"/>
        <v>128044.58459466843</v>
      </c>
      <c r="K10" s="19">
        <v>4.18</v>
      </c>
      <c r="L10" s="19">
        <v>53.4</v>
      </c>
      <c r="M10" s="3">
        <f t="shared" si="5"/>
        <v>1162388.7389503999</v>
      </c>
      <c r="N10" s="3">
        <f t="shared" si="6"/>
        <v>941534.878549824</v>
      </c>
      <c r="O10" s="8">
        <f t="shared" si="7"/>
        <v>13.755266672117889</v>
      </c>
      <c r="P10" s="3">
        <f t="shared" si="8"/>
        <v>1133554.3685673238</v>
      </c>
      <c r="Q10" s="2">
        <f t="shared" si="9"/>
        <v>0.27202517650085056</v>
      </c>
      <c r="R10">
        <f t="shared" si="10"/>
        <v>0.45762721737396639</v>
      </c>
    </row>
    <row r="11" spans="1:26" x14ac:dyDescent="0.25">
      <c r="A11" t="s">
        <v>7</v>
      </c>
      <c r="B11">
        <v>298.5</v>
      </c>
      <c r="C11" s="15">
        <v>12437.944</v>
      </c>
      <c r="D11" s="15">
        <f t="shared" si="0"/>
        <v>12437944</v>
      </c>
      <c r="E11" s="15">
        <f t="shared" si="1"/>
        <v>16.336262358304271</v>
      </c>
      <c r="F11" s="16">
        <v>0.13209000000000001</v>
      </c>
      <c r="G11" s="1">
        <v>18</v>
      </c>
      <c r="H11" s="3">
        <f t="shared" si="2"/>
        <v>1153881.8736674855</v>
      </c>
      <c r="I11" s="3">
        <f t="shared" si="3"/>
        <v>13.958642358304271</v>
      </c>
      <c r="J11" s="3">
        <f t="shared" si="4"/>
        <v>519246.84315036848</v>
      </c>
      <c r="K11" s="19">
        <v>4.45</v>
      </c>
      <c r="L11" s="19">
        <v>62.2</v>
      </c>
      <c r="M11" s="3">
        <f t="shared" si="5"/>
        <v>5490516.119471997</v>
      </c>
      <c r="N11" s="3">
        <f t="shared" si="6"/>
        <v>4447318.0567723177</v>
      </c>
      <c r="O11" s="8">
        <f t="shared" si="7"/>
        <v>15.307811788584106</v>
      </c>
      <c r="P11" s="3">
        <f t="shared" si="8"/>
        <v>7754797.7506917091</v>
      </c>
      <c r="Q11" s="2">
        <f t="shared" si="9"/>
        <v>-1.0284505697201656</v>
      </c>
      <c r="R11">
        <f t="shared" si="10"/>
        <v>-0.47244008391080605</v>
      </c>
    </row>
    <row r="12" spans="1:26" x14ac:dyDescent="0.25">
      <c r="A12" t="s">
        <v>8</v>
      </c>
      <c r="B12">
        <v>238.2</v>
      </c>
      <c r="C12" s="15">
        <v>2960.5018</v>
      </c>
      <c r="D12" s="15">
        <f t="shared" si="0"/>
        <v>2960501.8</v>
      </c>
      <c r="E12" s="15">
        <f t="shared" si="1"/>
        <v>14.900869338959188</v>
      </c>
      <c r="F12" s="16">
        <v>0.12966</v>
      </c>
      <c r="G12" s="1">
        <v>19</v>
      </c>
      <c r="H12" s="3">
        <f t="shared" si="2"/>
        <v>252036.53570960998</v>
      </c>
      <c r="I12" s="3">
        <f t="shared" si="3"/>
        <v>12.437329338959188</v>
      </c>
      <c r="J12" s="3">
        <f t="shared" si="4"/>
        <v>113416.44106932449</v>
      </c>
      <c r="K12" s="19">
        <v>5.23</v>
      </c>
      <c r="L12" s="19">
        <v>94</v>
      </c>
      <c r="M12" s="3">
        <f t="shared" si="5"/>
        <v>1812394.7282878053</v>
      </c>
      <c r="N12" s="3">
        <f t="shared" si="6"/>
        <v>1468039.7299131225</v>
      </c>
      <c r="O12" s="8">
        <f t="shared" si="7"/>
        <v>14.199438551763892</v>
      </c>
      <c r="P12" s="3">
        <f t="shared" si="8"/>
        <v>2042713.7709546885</v>
      </c>
      <c r="Q12" s="2">
        <f t="shared" si="9"/>
        <v>-0.70143078719529584</v>
      </c>
      <c r="R12">
        <f t="shared" si="10"/>
        <v>-0.37107957729739383</v>
      </c>
    </row>
    <row r="13" spans="1:26" x14ac:dyDescent="0.25">
      <c r="A13" t="s">
        <v>9</v>
      </c>
      <c r="B13">
        <f>14.7+3.3+8.5+5.9+6.3+8.1+13.9+6.1+11+10.4+10.5+10.5+6.4+10.3+11.4+8.3</f>
        <v>145.60000000000002</v>
      </c>
      <c r="C13" s="15">
        <v>440.82679999999999</v>
      </c>
      <c r="D13" s="15">
        <f t="shared" si="0"/>
        <v>440826.8</v>
      </c>
      <c r="E13" s="15">
        <f t="shared" si="1"/>
        <v>12.996407333520779</v>
      </c>
      <c r="F13" s="16">
        <v>1.345E-2</v>
      </c>
      <c r="G13" s="1">
        <v>22</v>
      </c>
      <c r="H13" s="3">
        <f t="shared" si="2"/>
        <v>327914.22155700531</v>
      </c>
      <c r="I13" s="3">
        <f t="shared" si="3"/>
        <v>12.700507333520779</v>
      </c>
      <c r="J13" s="3">
        <f t="shared" si="4"/>
        <v>147561.3997006524</v>
      </c>
      <c r="K13" s="19">
        <v>4.96</v>
      </c>
      <c r="L13" s="19">
        <v>81.900000000000006</v>
      </c>
      <c r="M13" s="3">
        <f t="shared" si="5"/>
        <v>2054497.3680321837</v>
      </c>
      <c r="N13" s="3">
        <f t="shared" si="6"/>
        <v>1664142.868106069</v>
      </c>
      <c r="O13" s="8">
        <f t="shared" si="7"/>
        <v>14.324820754914503</v>
      </c>
      <c r="P13" s="3">
        <f t="shared" si="8"/>
        <v>1415402.4189630882</v>
      </c>
      <c r="Q13" s="2">
        <f t="shared" si="9"/>
        <v>1.3284134213937246</v>
      </c>
      <c r="R13">
        <f t="shared" si="10"/>
        <v>1.1665171101330145</v>
      </c>
    </row>
    <row r="15" spans="1:26" x14ac:dyDescent="0.25">
      <c r="A15" t="s">
        <v>15</v>
      </c>
      <c r="B15" s="3">
        <f t="shared" ref="B15:R15" si="11">AVERAGE(B6:B13)</f>
        <v>171.1875</v>
      </c>
      <c r="C15" s="3">
        <f t="shared" si="11"/>
        <v>2668.4272749999996</v>
      </c>
      <c r="D15" s="3">
        <f t="shared" si="11"/>
        <v>2668427.2750000004</v>
      </c>
      <c r="E15" s="3">
        <f t="shared" si="11"/>
        <v>14.169141834534321</v>
      </c>
      <c r="F15" s="1">
        <f t="shared" si="11"/>
        <v>7.2280625000000001E-2</v>
      </c>
      <c r="G15" s="1">
        <f t="shared" si="11"/>
        <v>19.625</v>
      </c>
      <c r="H15" s="3">
        <f t="shared" si="11"/>
        <v>430743.04529321869</v>
      </c>
      <c r="I15" s="3">
        <f t="shared" si="11"/>
        <v>12.778256834534321</v>
      </c>
      <c r="J15" s="3">
        <f t="shared" si="11"/>
        <v>193834.37038194839</v>
      </c>
      <c r="K15" s="3">
        <f t="shared" si="11"/>
        <v>4.5524999999999993</v>
      </c>
      <c r="L15" s="3">
        <f t="shared" si="11"/>
        <v>66.974999999999994</v>
      </c>
      <c r="M15" s="3">
        <f t="shared" si="11"/>
        <v>2073682.7012741372</v>
      </c>
      <c r="N15" s="3">
        <f t="shared" si="11"/>
        <v>1679682.9880320514</v>
      </c>
      <c r="O15" s="3">
        <f t="shared" si="11"/>
        <v>14.174421961826804</v>
      </c>
      <c r="P15" s="3">
        <f t="shared" si="11"/>
        <v>1962669.8464928893</v>
      </c>
      <c r="Q15" s="8">
        <f t="shared" si="11"/>
        <v>5.2801272924842824E-3</v>
      </c>
      <c r="R15" s="8">
        <f t="shared" si="11"/>
        <v>-8.8991482112872111E-2</v>
      </c>
    </row>
    <row r="16" spans="1:26" x14ac:dyDescent="0.25">
      <c r="A16" t="s">
        <v>16</v>
      </c>
      <c r="B16" s="1">
        <f t="shared" ref="B16:R16" si="12">MIN(B6:B13)</f>
        <v>58.4</v>
      </c>
      <c r="C16" s="1">
        <f t="shared" si="12"/>
        <v>440.82679999999999</v>
      </c>
      <c r="D16" s="1">
        <f t="shared" si="12"/>
        <v>440826.8</v>
      </c>
      <c r="E16" s="1">
        <f t="shared" si="12"/>
        <v>12.996407333520779</v>
      </c>
      <c r="F16" s="1">
        <f t="shared" si="12"/>
        <v>6.4850000000000003E-3</v>
      </c>
      <c r="G16" s="1">
        <f t="shared" si="12"/>
        <v>16</v>
      </c>
      <c r="H16" s="3">
        <f t="shared" si="12"/>
        <v>135545.58869657372</v>
      </c>
      <c r="I16" s="3">
        <f t="shared" si="12"/>
        <v>11.817063310661167</v>
      </c>
      <c r="J16" s="3">
        <f t="shared" si="12"/>
        <v>60995.514913458173</v>
      </c>
      <c r="K16" s="3">
        <f t="shared" si="12"/>
        <v>3.9</v>
      </c>
      <c r="L16" s="3">
        <f t="shared" si="12"/>
        <v>44.1</v>
      </c>
      <c r="M16" s="3">
        <f t="shared" si="12"/>
        <v>724809.70371662348</v>
      </c>
      <c r="N16" s="3">
        <f t="shared" si="12"/>
        <v>587095.86001046502</v>
      </c>
      <c r="O16" s="3">
        <f t="shared" si="12"/>
        <v>13.282943390435634</v>
      </c>
      <c r="P16" s="3">
        <f t="shared" si="12"/>
        <v>475678.39815086679</v>
      </c>
      <c r="Q16" s="8">
        <f t="shared" si="12"/>
        <v>-1.0284505697201656</v>
      </c>
      <c r="R16" s="8">
        <f t="shared" si="12"/>
        <v>-0.91719577813892883</v>
      </c>
    </row>
    <row r="17" spans="1:18" x14ac:dyDescent="0.25">
      <c r="A17" t="s">
        <v>17</v>
      </c>
      <c r="B17" s="1">
        <f t="shared" ref="B17:R17" si="13">MAX(B6:B13)</f>
        <v>298.5</v>
      </c>
      <c r="C17" s="1">
        <f t="shared" si="13"/>
        <v>12437.944</v>
      </c>
      <c r="D17" s="1">
        <f t="shared" si="13"/>
        <v>12437944</v>
      </c>
      <c r="E17" s="1">
        <f t="shared" si="13"/>
        <v>16.336262358304271</v>
      </c>
      <c r="F17" s="1">
        <f t="shared" si="13"/>
        <v>0.13209000000000001</v>
      </c>
      <c r="G17" s="1">
        <f t="shared" si="13"/>
        <v>23</v>
      </c>
      <c r="H17" s="3">
        <f t="shared" si="13"/>
        <v>1153881.8736674855</v>
      </c>
      <c r="I17" s="3">
        <f t="shared" si="13"/>
        <v>13.958642358304271</v>
      </c>
      <c r="J17" s="3">
        <f t="shared" si="13"/>
        <v>519246.84315036848</v>
      </c>
      <c r="K17" s="3">
        <f t="shared" si="13"/>
        <v>5.23</v>
      </c>
      <c r="L17" s="3">
        <f t="shared" si="13"/>
        <v>94</v>
      </c>
      <c r="M17" s="3">
        <f t="shared" si="13"/>
        <v>5490516.119471997</v>
      </c>
      <c r="N17" s="3">
        <f t="shared" si="13"/>
        <v>4447318.0567723177</v>
      </c>
      <c r="O17" s="3">
        <f t="shared" si="13"/>
        <v>15.307811788584106</v>
      </c>
      <c r="P17" s="3">
        <f t="shared" si="13"/>
        <v>7754797.7506917091</v>
      </c>
      <c r="Q17" s="8">
        <f t="shared" si="13"/>
        <v>1.3284134213937246</v>
      </c>
      <c r="R17" s="8">
        <f t="shared" si="13"/>
        <v>1.1665171101330145</v>
      </c>
    </row>
    <row r="28" spans="1:18" x14ac:dyDescent="0.25">
      <c r="A28" s="18"/>
      <c r="B28" s="18"/>
      <c r="C28" s="17"/>
      <c r="D28" s="17"/>
      <c r="E28" s="17"/>
    </row>
    <row r="33" spans="3:12" ht="12.75" customHeight="1" x14ac:dyDescent="0.25"/>
    <row r="40" spans="3:12" ht="15.75" thickBot="1" x14ac:dyDescent="0.3">
      <c r="F40" s="1" t="s">
        <v>33</v>
      </c>
      <c r="G40" t="s">
        <v>34</v>
      </c>
    </row>
    <row r="41" spans="3:12" x14ac:dyDescent="0.25">
      <c r="C41" s="1" t="s">
        <v>31</v>
      </c>
      <c r="F41" s="1">
        <v>4.6025</v>
      </c>
      <c r="G41">
        <v>60</v>
      </c>
      <c r="L41" s="12"/>
    </row>
    <row r="42" spans="3:12" x14ac:dyDescent="0.25">
      <c r="C42" s="1" t="s">
        <v>32</v>
      </c>
      <c r="F42" s="1">
        <v>3.96</v>
      </c>
      <c r="G42">
        <v>50</v>
      </c>
      <c r="L42" s="9">
        <v>1</v>
      </c>
    </row>
    <row r="43" spans="3:12" x14ac:dyDescent="0.25">
      <c r="L43" s="9">
        <v>1</v>
      </c>
    </row>
    <row r="44" spans="3:12" x14ac:dyDescent="0.25">
      <c r="L44" s="9">
        <v>65535</v>
      </c>
    </row>
    <row r="45" spans="3:12" x14ac:dyDescent="0.25">
      <c r="L45" s="9">
        <v>0</v>
      </c>
    </row>
    <row r="46" spans="3:12" ht="15.75" thickBot="1" x14ac:dyDescent="0.3">
      <c r="L46" s="10">
        <v>2</v>
      </c>
    </row>
    <row r="47" spans="3:12" x14ac:dyDescent="0.25">
      <c r="F47" s="1">
        <f>EXP(1)</f>
        <v>2.7182818284590451</v>
      </c>
    </row>
    <row r="48" spans="3:12" ht="15.75" thickBot="1" x14ac:dyDescent="0.3"/>
    <row r="49" spans="12:21" x14ac:dyDescent="0.25">
      <c r="L49" s="11" t="s">
        <v>19</v>
      </c>
      <c r="M49" s="11" t="s">
        <v>20</v>
      </c>
      <c r="N49" s="11" t="s">
        <v>21</v>
      </c>
      <c r="O49" s="11"/>
      <c r="P49" s="11"/>
      <c r="Q49" s="11" t="s">
        <v>22</v>
      </c>
      <c r="R49" s="11" t="s">
        <v>23</v>
      </c>
    </row>
    <row r="50" spans="12:21" x14ac:dyDescent="0.25">
      <c r="L50" s="9">
        <v>1</v>
      </c>
      <c r="M50" s="9">
        <v>50</v>
      </c>
      <c r="N50" s="9">
        <v>50</v>
      </c>
      <c r="O50" s="9"/>
      <c r="P50" s="9"/>
      <c r="Q50" s="9" t="e">
        <v>#NUM!</v>
      </c>
      <c r="R50" s="9" t="e">
        <v>#NUM!</v>
      </c>
    </row>
    <row r="51" spans="12:21" x14ac:dyDescent="0.25">
      <c r="L51" s="9">
        <v>0</v>
      </c>
      <c r="M51" s="9">
        <v>0</v>
      </c>
      <c r="N51" s="9">
        <v>65535</v>
      </c>
      <c r="O51" s="9"/>
      <c r="P51" s="9"/>
      <c r="Q51" s="9"/>
      <c r="R51" s="9"/>
    </row>
    <row r="52" spans="12:21" ht="15.75" thickBot="1" x14ac:dyDescent="0.3">
      <c r="L52" s="10">
        <v>1</v>
      </c>
      <c r="M52" s="10">
        <v>50</v>
      </c>
      <c r="N52" s="10"/>
      <c r="O52" s="10"/>
      <c r="P52" s="10"/>
      <c r="Q52" s="10"/>
      <c r="R52" s="10"/>
    </row>
    <row r="53" spans="12:21" ht="15.75" thickBot="1" x14ac:dyDescent="0.3"/>
    <row r="54" spans="12:21" x14ac:dyDescent="0.25">
      <c r="L54" s="11" t="s">
        <v>24</v>
      </c>
      <c r="M54" s="11" t="s">
        <v>18</v>
      </c>
      <c r="N54" s="11" t="s">
        <v>25</v>
      </c>
      <c r="O54" s="11"/>
      <c r="P54" s="11"/>
      <c r="Q54" s="11" t="s">
        <v>26</v>
      </c>
      <c r="R54" s="11" t="s">
        <v>27</v>
      </c>
      <c r="S54" s="11" t="s">
        <v>28</v>
      </c>
      <c r="T54" s="11" t="s">
        <v>29</v>
      </c>
      <c r="U54" s="11" t="s">
        <v>30</v>
      </c>
    </row>
    <row r="55" spans="12:21" x14ac:dyDescent="0.25">
      <c r="L55" s="9">
        <v>-11.634241245136181</v>
      </c>
      <c r="M55" s="9">
        <v>0</v>
      </c>
      <c r="N55" s="9">
        <v>65535</v>
      </c>
      <c r="O55" s="9"/>
      <c r="P55" s="9"/>
      <c r="Q55" s="9" t="e">
        <v>#NUM!</v>
      </c>
      <c r="R55" s="9">
        <v>-11.634241245136181</v>
      </c>
      <c r="S55" s="9">
        <v>-11.634241245136181</v>
      </c>
      <c r="T55" s="9">
        <v>-11.634241245136181</v>
      </c>
      <c r="U55" s="9">
        <v>-11.634241245136181</v>
      </c>
    </row>
    <row r="56" spans="12:21" ht="15.75" thickBot="1" x14ac:dyDescent="0.3">
      <c r="L56" s="10">
        <v>15.56420233463035</v>
      </c>
      <c r="M56" s="10">
        <v>0</v>
      </c>
      <c r="N56" s="10">
        <v>65535</v>
      </c>
      <c r="O56" s="10"/>
      <c r="P56" s="10"/>
      <c r="Q56" s="10" t="e">
        <v>#NUM!</v>
      </c>
      <c r="R56" s="10">
        <v>15.56420233463035</v>
      </c>
      <c r="S56" s="10">
        <v>15.56420233463035</v>
      </c>
      <c r="T56" s="10">
        <v>15.56420233463035</v>
      </c>
      <c r="U56" s="10">
        <v>15.56420233463035</v>
      </c>
    </row>
  </sheetData>
  <sortState xmlns:xlrd2="http://schemas.microsoft.com/office/spreadsheetml/2017/richdata2" ref="A6:Z13">
    <sortCondition ref="A6:A13" customList="East,NoOil,Oil,Golf,Waterfall,Vulgaris,Vulgaris small,Ice"/>
  </sortState>
  <pageMargins left="0.7" right="0.7" top="0.75" bottom="0.75" header="0.3" footer="0.3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3779-29CA-410F-AF13-6E4C169D6073}">
  <dimension ref="A1:Y56"/>
  <sheetViews>
    <sheetView tabSelected="1" topLeftCell="E1" zoomScale="120" zoomScaleNormal="120" workbookViewId="0">
      <selection activeCell="J3" sqref="J3"/>
    </sheetView>
  </sheetViews>
  <sheetFormatPr defaultRowHeight="15" x14ac:dyDescent="0.25"/>
  <cols>
    <col min="1" max="1" width="12.140625" bestFit="1" customWidth="1"/>
    <col min="2" max="2" width="12.140625" customWidth="1"/>
    <col min="3" max="3" width="19.28515625" style="1" customWidth="1"/>
    <col min="4" max="4" width="13.28515625" style="1" customWidth="1"/>
    <col min="5" max="5" width="9.140625" style="1"/>
    <col min="7" max="8" width="14.85546875" style="20" customWidth="1"/>
    <col min="9" max="9" width="10.42578125" style="20" bestFit="1" customWidth="1"/>
    <col min="10" max="10" width="13.5703125" customWidth="1"/>
    <col min="11" max="11" width="10.5703125" customWidth="1"/>
    <col min="12" max="12" width="13" customWidth="1"/>
    <col min="13" max="13" width="12.5703125" customWidth="1"/>
    <col min="14" max="14" width="14.5703125" customWidth="1"/>
    <col min="15" max="15" width="16.5703125" customWidth="1"/>
    <col min="16" max="16" width="13.5703125" customWidth="1"/>
    <col min="21" max="22" width="15.5703125" customWidth="1"/>
    <col min="23" max="23" width="12" customWidth="1"/>
  </cols>
  <sheetData>
    <row r="1" spans="1:25" x14ac:dyDescent="0.25">
      <c r="M1">
        <v>0.17</v>
      </c>
      <c r="N1" t="s">
        <v>43</v>
      </c>
      <c r="U1" s="19">
        <v>129288.2</v>
      </c>
      <c r="V1" s="19">
        <v>227929.2</v>
      </c>
      <c r="Y1">
        <f>LN(U1)</f>
        <v>11.76979929996126</v>
      </c>
    </row>
    <row r="2" spans="1:25" x14ac:dyDescent="0.25">
      <c r="G2" s="21" t="s">
        <v>14</v>
      </c>
      <c r="H2" s="8">
        <v>0.9</v>
      </c>
      <c r="K2" s="13">
        <v>2.7078250000000001</v>
      </c>
      <c r="M2" s="2">
        <v>0.80500000000000005</v>
      </c>
      <c r="N2" s="14" t="s">
        <v>37</v>
      </c>
      <c r="O2" s="2"/>
      <c r="U2" s="19">
        <v>635673.69999999995</v>
      </c>
      <c r="V2" s="19">
        <v>30647.21</v>
      </c>
      <c r="W2" s="19"/>
      <c r="Y2">
        <f>LN(U2)</f>
        <v>13.362440660352449</v>
      </c>
    </row>
    <row r="3" spans="1:25" x14ac:dyDescent="0.25">
      <c r="G3" s="21" t="s">
        <v>13</v>
      </c>
      <c r="H3" s="8">
        <v>0.5</v>
      </c>
      <c r="K3" s="13"/>
    </row>
    <row r="5" spans="1:25" ht="61.5" x14ac:dyDescent="0.35">
      <c r="A5" s="4" t="s">
        <v>1</v>
      </c>
      <c r="B5" s="4" t="s">
        <v>40</v>
      </c>
      <c r="C5" s="5" t="s">
        <v>45</v>
      </c>
      <c r="D5" s="5" t="s">
        <v>44</v>
      </c>
      <c r="E5" s="5" t="s">
        <v>0</v>
      </c>
      <c r="F5" s="5" t="s">
        <v>10</v>
      </c>
      <c r="G5" s="22" t="s">
        <v>46</v>
      </c>
      <c r="H5" s="22" t="s">
        <v>47</v>
      </c>
      <c r="I5" s="22" t="s">
        <v>12</v>
      </c>
      <c r="J5" s="6" t="s">
        <v>49</v>
      </c>
      <c r="K5" s="5" t="s">
        <v>35</v>
      </c>
      <c r="L5" s="6" t="s">
        <v>36</v>
      </c>
      <c r="M5" s="6" t="s">
        <v>38</v>
      </c>
      <c r="N5" s="6" t="s">
        <v>48</v>
      </c>
      <c r="O5" s="6" t="s">
        <v>42</v>
      </c>
      <c r="P5" s="6" t="s">
        <v>39</v>
      </c>
      <c r="Q5" s="6" t="s">
        <v>41</v>
      </c>
    </row>
    <row r="6" spans="1:25" x14ac:dyDescent="0.25">
      <c r="A6" t="s">
        <v>2</v>
      </c>
      <c r="B6">
        <v>138.70000000000002</v>
      </c>
      <c r="C6" s="15">
        <v>21.1</v>
      </c>
      <c r="D6" s="15">
        <f t="shared" ref="D6:D13" si="0">LN(C6)</f>
        <v>3.0492730404820207</v>
      </c>
      <c r="E6" s="16">
        <v>8.8010000000000005E-2</v>
      </c>
      <c r="F6" s="1">
        <v>21</v>
      </c>
      <c r="G6" s="8">
        <f>C6*EXP(-1*E6*F6)</f>
        <v>3.3236482180528495</v>
      </c>
      <c r="H6" s="8">
        <f>LN(G6)</f>
        <v>1.2010630404820206</v>
      </c>
      <c r="I6" s="8">
        <f>G6*H$2*H$3</f>
        <v>1.4956416981237823</v>
      </c>
      <c r="J6" s="19">
        <v>4.66</v>
      </c>
      <c r="K6" s="19">
        <v>69.900000000000006</v>
      </c>
      <c r="L6" s="3">
        <f>I6*K6*$M$1</f>
        <v>17.77271029880491</v>
      </c>
      <c r="M6" s="8">
        <f>L6*M$2</f>
        <v>14.307031790537954</v>
      </c>
      <c r="N6" s="8">
        <f t="shared" ref="N6:N13" si="1">LN(M6)</f>
        <v>2.660751150008565</v>
      </c>
      <c r="O6" s="3">
        <f t="shared" ref="O6:O13" si="2">(B6/$B$15)*$M$2*L6</f>
        <v>11.591882055334731</v>
      </c>
      <c r="P6" s="2">
        <f t="shared" ref="P6:P13" si="3">(LN(M6)-LN(C6))</f>
        <v>-0.38852189047345576</v>
      </c>
      <c r="Q6">
        <f t="shared" ref="Q6:Q13" si="4">(LN(O6)-LN(C6))</f>
        <v>-0.5989680101759669</v>
      </c>
    </row>
    <row r="7" spans="1:25" x14ac:dyDescent="0.25">
      <c r="A7" t="s">
        <v>3</v>
      </c>
      <c r="B7">
        <f>7.9+8.8+6.1+9.4+8.9+8.5+3+5.8</f>
        <v>58.4</v>
      </c>
      <c r="C7" s="15">
        <v>75.2</v>
      </c>
      <c r="D7" s="15">
        <f t="shared" si="0"/>
        <v>4.3201512309557941</v>
      </c>
      <c r="E7" s="16">
        <v>6.6629999999999995E-2</v>
      </c>
      <c r="F7" s="1">
        <v>16</v>
      </c>
      <c r="G7" s="8">
        <f t="shared" ref="G6:G13" si="5">C7*EXP(-1*E7*F7)</f>
        <v>25.895552374206382</v>
      </c>
      <c r="H7" s="8">
        <f t="shared" ref="H6:H13" si="6">LN(G7)</f>
        <v>3.2540712309557942</v>
      </c>
      <c r="I7" s="8">
        <f t="shared" ref="I6:I13" si="7">G7*H$2*H$3</f>
        <v>11.652998568392873</v>
      </c>
      <c r="J7" s="19">
        <v>4.24</v>
      </c>
      <c r="K7" s="19">
        <v>54.9</v>
      </c>
      <c r="L7" s="3">
        <f t="shared" ref="L6:L13" si="8">I7*K7*$M$1</f>
        <v>108.75743563881069</v>
      </c>
      <c r="M7" s="8">
        <f t="shared" ref="M6:M13" si="9">L7*M$2</f>
        <v>87.54973568924261</v>
      </c>
      <c r="N7" s="8">
        <f t="shared" si="1"/>
        <v>4.4722070397580591</v>
      </c>
      <c r="O7" s="3">
        <f t="shared" si="2"/>
        <v>29.867277483763527</v>
      </c>
      <c r="P7" s="2">
        <f t="shared" si="3"/>
        <v>0.15205580880226499</v>
      </c>
      <c r="Q7">
        <f t="shared" si="4"/>
        <v>-0.92338774838685067</v>
      </c>
    </row>
    <row r="8" spans="1:25" x14ac:dyDescent="0.25">
      <c r="A8" t="s">
        <v>4</v>
      </c>
      <c r="B8">
        <f>8.2+5.3+5.3+8.1+5.4+9.4+2.7+10.8+8.1+8.8+4.8+11.6+4.3+11+5.2+4.4+9.3+9.8</f>
        <v>132.5</v>
      </c>
      <c r="C8" s="15">
        <v>50.1</v>
      </c>
      <c r="D8" s="15">
        <f t="shared" si="0"/>
        <v>3.9140210080908191</v>
      </c>
      <c r="E8" s="16">
        <v>0.10172</v>
      </c>
      <c r="F8" s="1">
        <v>20</v>
      </c>
      <c r="G8" s="8">
        <f t="shared" si="5"/>
        <v>6.5510216074680478</v>
      </c>
      <c r="H8" s="8">
        <f t="shared" si="6"/>
        <v>1.8796210080908191</v>
      </c>
      <c r="I8" s="8">
        <f t="shared" si="7"/>
        <v>2.9479597233606216</v>
      </c>
      <c r="J8" s="19">
        <v>4.8</v>
      </c>
      <c r="K8" s="19">
        <v>75.400000000000006</v>
      </c>
      <c r="L8" s="3">
        <f t="shared" si="8"/>
        <v>37.786947734036453</v>
      </c>
      <c r="M8" s="8">
        <f t="shared" si="9"/>
        <v>30.418492925899347</v>
      </c>
      <c r="N8" s="8">
        <f t="shared" si="1"/>
        <v>3.4150507433915092</v>
      </c>
      <c r="O8" s="3">
        <f t="shared" si="2"/>
        <v>23.544069004347062</v>
      </c>
      <c r="P8" s="2">
        <f t="shared" si="3"/>
        <v>-0.49897026469930994</v>
      </c>
      <c r="Q8">
        <f t="shared" si="4"/>
        <v>-0.75514706629633022</v>
      </c>
    </row>
    <row r="9" spans="1:25" x14ac:dyDescent="0.25">
      <c r="A9" t="s">
        <v>5</v>
      </c>
      <c r="B9">
        <v>151.5</v>
      </c>
      <c r="C9" s="15">
        <v>15.5</v>
      </c>
      <c r="D9" s="15">
        <f t="shared" si="0"/>
        <v>2.7408400239252009</v>
      </c>
      <c r="E9" s="16">
        <v>6.4850000000000003E-3</v>
      </c>
      <c r="F9" s="1">
        <v>18</v>
      </c>
      <c r="G9" s="8">
        <f t="shared" si="5"/>
        <v>13.792293910704895</v>
      </c>
      <c r="H9" s="8">
        <f t="shared" si="6"/>
        <v>2.6241100239252009</v>
      </c>
      <c r="I9" s="8">
        <f t="shared" si="7"/>
        <v>6.2065322598172035</v>
      </c>
      <c r="J9" s="19">
        <v>3.9</v>
      </c>
      <c r="K9" s="19">
        <v>44.1</v>
      </c>
      <c r="L9" s="3">
        <f t="shared" si="8"/>
        <v>46.530372351849579</v>
      </c>
      <c r="M9" s="8">
        <f t="shared" si="9"/>
        <v>37.456949743238916</v>
      </c>
      <c r="N9" s="8">
        <f t="shared" si="1"/>
        <v>3.6231922666647809</v>
      </c>
      <c r="O9" s="3">
        <f t="shared" si="2"/>
        <v>33.149195391606838</v>
      </c>
      <c r="P9" s="2">
        <f t="shared" si="3"/>
        <v>0.88235224273958002</v>
      </c>
      <c r="Q9">
        <f t="shared" si="4"/>
        <v>0.76017842066570696</v>
      </c>
    </row>
    <row r="10" spans="1:25" x14ac:dyDescent="0.25">
      <c r="A10" t="s">
        <v>6</v>
      </c>
      <c r="B10">
        <v>206.1</v>
      </c>
      <c r="C10" s="15">
        <v>13.5</v>
      </c>
      <c r="D10" s="15">
        <f t="shared" si="0"/>
        <v>2.6026896854443837</v>
      </c>
      <c r="E10" s="16">
        <v>4.02E-2</v>
      </c>
      <c r="F10" s="1">
        <v>23</v>
      </c>
      <c r="G10" s="8">
        <f t="shared" si="5"/>
        <v>5.3553158554864471</v>
      </c>
      <c r="H10" s="8">
        <f t="shared" si="6"/>
        <v>1.6780896854443836</v>
      </c>
      <c r="I10" s="8">
        <f t="shared" si="7"/>
        <v>2.4098921349689011</v>
      </c>
      <c r="J10" s="19">
        <v>4.18</v>
      </c>
      <c r="K10" s="19">
        <v>53.4</v>
      </c>
      <c r="L10" s="3">
        <f t="shared" si="8"/>
        <v>21.877000801247686</v>
      </c>
      <c r="M10" s="8">
        <f t="shared" si="9"/>
        <v>17.610985645004387</v>
      </c>
      <c r="N10" s="8">
        <f t="shared" si="1"/>
        <v>2.8685228916973124</v>
      </c>
      <c r="O10" s="3">
        <f t="shared" si="2"/>
        <v>21.202623681258295</v>
      </c>
      <c r="P10" s="2">
        <f t="shared" si="3"/>
        <v>0.26583320625292872</v>
      </c>
      <c r="Q10">
        <f t="shared" si="4"/>
        <v>0.45143524712604499</v>
      </c>
    </row>
    <row r="11" spans="1:25" x14ac:dyDescent="0.25">
      <c r="A11" t="s">
        <v>7</v>
      </c>
      <c r="B11">
        <v>298.5</v>
      </c>
      <c r="C11" s="15">
        <v>140.69999999999999</v>
      </c>
      <c r="D11" s="15">
        <f t="shared" si="0"/>
        <v>4.9466299641203433</v>
      </c>
      <c r="E11" s="16">
        <v>0.13209000000000001</v>
      </c>
      <c r="F11" s="1">
        <v>18</v>
      </c>
      <c r="G11" s="8">
        <f t="shared" si="5"/>
        <v>13.052895207199454</v>
      </c>
      <c r="H11" s="8">
        <f t="shared" si="6"/>
        <v>2.569009964120343</v>
      </c>
      <c r="I11" s="8">
        <f t="shared" si="7"/>
        <v>5.873802843239754</v>
      </c>
      <c r="J11" s="19">
        <v>4.45</v>
      </c>
      <c r="K11" s="19">
        <v>62.2</v>
      </c>
      <c r="L11" s="3">
        <f t="shared" si="8"/>
        <v>62.109591264417162</v>
      </c>
      <c r="M11" s="8">
        <f t="shared" si="9"/>
        <v>49.998220967855815</v>
      </c>
      <c r="N11" s="8">
        <f t="shared" si="1"/>
        <v>3.9119874241522563</v>
      </c>
      <c r="O11" s="3">
        <f t="shared" si="2"/>
        <v>87.18200195052188</v>
      </c>
      <c r="P11" s="2">
        <f t="shared" si="3"/>
        <v>-1.034642539968087</v>
      </c>
      <c r="Q11">
        <f t="shared" si="4"/>
        <v>-0.47863205415872656</v>
      </c>
    </row>
    <row r="12" spans="1:25" x14ac:dyDescent="0.25">
      <c r="A12" t="s">
        <v>8</v>
      </c>
      <c r="B12">
        <v>238.2</v>
      </c>
      <c r="C12" s="15">
        <v>41.7</v>
      </c>
      <c r="D12" s="15">
        <f t="shared" si="0"/>
        <v>3.730501128804756</v>
      </c>
      <c r="E12" s="16">
        <v>0.12966</v>
      </c>
      <c r="F12" s="1">
        <v>19</v>
      </c>
      <c r="G12" s="8">
        <f t="shared" si="5"/>
        <v>3.550048015201591</v>
      </c>
      <c r="H12" s="8">
        <f t="shared" si="6"/>
        <v>1.2669611288047558</v>
      </c>
      <c r="I12" s="8">
        <f t="shared" si="7"/>
        <v>1.5975216068407159</v>
      </c>
      <c r="J12" s="19">
        <v>5.23</v>
      </c>
      <c r="K12" s="19">
        <v>94</v>
      </c>
      <c r="L12" s="3">
        <f t="shared" si="8"/>
        <v>25.52839527731464</v>
      </c>
      <c r="M12" s="8">
        <f t="shared" si="9"/>
        <v>20.550358198238285</v>
      </c>
      <c r="N12" s="8">
        <f t="shared" si="1"/>
        <v>3.0228783713615393</v>
      </c>
      <c r="O12" s="3">
        <f t="shared" si="2"/>
        <v>28.594934342871763</v>
      </c>
      <c r="P12" s="2">
        <f t="shared" si="3"/>
        <v>-0.70762275744321679</v>
      </c>
      <c r="Q12">
        <f t="shared" si="4"/>
        <v>-0.37727154754531389</v>
      </c>
    </row>
    <row r="13" spans="1:25" x14ac:dyDescent="0.25">
      <c r="A13" t="s">
        <v>9</v>
      </c>
      <c r="B13">
        <f>14.7+3.3+8.5+5.9+6.3+8.1+13.9+6.1+11+10.4+10.5+10.5+6.4+10.3+11.4+8.3</f>
        <v>145.60000000000002</v>
      </c>
      <c r="C13" s="15">
        <v>10.3</v>
      </c>
      <c r="D13" s="15">
        <f t="shared" si="0"/>
        <v>2.33214389523559</v>
      </c>
      <c r="E13" s="16">
        <v>1.345E-2</v>
      </c>
      <c r="F13" s="1">
        <v>22</v>
      </c>
      <c r="G13" s="8">
        <f t="shared" si="5"/>
        <v>7.6617766479650404</v>
      </c>
      <c r="H13" s="8">
        <f t="shared" si="6"/>
        <v>2.0362438952355904</v>
      </c>
      <c r="I13" s="8">
        <f t="shared" si="7"/>
        <v>3.4477994915842682</v>
      </c>
      <c r="J13" s="19">
        <v>4.96</v>
      </c>
      <c r="K13" s="19">
        <v>81.900000000000006</v>
      </c>
      <c r="L13" s="3">
        <f t="shared" si="8"/>
        <v>48.003712321327768</v>
      </c>
      <c r="M13" s="8">
        <f t="shared" si="9"/>
        <v>38.642988418668857</v>
      </c>
      <c r="N13" s="8">
        <f t="shared" si="1"/>
        <v>3.6543653463813932</v>
      </c>
      <c r="O13" s="3">
        <f t="shared" si="2"/>
        <v>32.866997378653146</v>
      </c>
      <c r="P13" s="2">
        <f t="shared" si="3"/>
        <v>1.3222214511458033</v>
      </c>
      <c r="Q13">
        <f t="shared" si="4"/>
        <v>1.1603251398850922</v>
      </c>
    </row>
    <row r="15" spans="1:25" x14ac:dyDescent="0.25">
      <c r="A15" t="s">
        <v>15</v>
      </c>
      <c r="B15" s="3">
        <f t="shared" ref="B15:Q15" si="10">AVERAGE(B6:B13)</f>
        <v>171.1875</v>
      </c>
      <c r="C15" s="3">
        <f t="shared" si="10"/>
        <v>46.012500000000003</v>
      </c>
      <c r="D15" s="3">
        <f t="shared" si="10"/>
        <v>3.4545312471323637</v>
      </c>
      <c r="E15" s="1">
        <f t="shared" si="10"/>
        <v>7.2280625000000001E-2</v>
      </c>
      <c r="F15" s="1">
        <f t="shared" si="10"/>
        <v>19.625</v>
      </c>
      <c r="G15" s="8">
        <f t="shared" si="10"/>
        <v>9.8978189795355878</v>
      </c>
      <c r="H15" s="8">
        <f t="shared" si="10"/>
        <v>2.0636462471323633</v>
      </c>
      <c r="I15" s="8">
        <f t="shared" si="10"/>
        <v>4.4540185407910151</v>
      </c>
      <c r="J15" s="3">
        <f t="shared" si="10"/>
        <v>4.5524999999999993</v>
      </c>
      <c r="K15" s="3">
        <f t="shared" si="10"/>
        <v>66.974999999999994</v>
      </c>
      <c r="L15" s="3">
        <f t="shared" si="10"/>
        <v>46.045770710976107</v>
      </c>
      <c r="M15" s="3">
        <f t="shared" si="10"/>
        <v>37.066845422335767</v>
      </c>
      <c r="N15" s="3">
        <f t="shared" si="10"/>
        <v>3.4536194041769273</v>
      </c>
      <c r="O15" s="3">
        <f t="shared" si="10"/>
        <v>33.499872661044655</v>
      </c>
      <c r="P15" s="8">
        <f t="shared" si="10"/>
        <v>-9.1184295543655924E-4</v>
      </c>
      <c r="Q15" s="8">
        <f t="shared" si="10"/>
        <v>-9.5183452360793008E-2</v>
      </c>
    </row>
    <row r="16" spans="1:25" x14ac:dyDescent="0.25">
      <c r="A16" t="s">
        <v>16</v>
      </c>
      <c r="B16" s="1">
        <f t="shared" ref="B16:Q16" si="11">MIN(B6:B13)</f>
        <v>58.4</v>
      </c>
      <c r="C16" s="1">
        <f t="shared" si="11"/>
        <v>10.3</v>
      </c>
      <c r="D16" s="1">
        <f t="shared" si="11"/>
        <v>2.33214389523559</v>
      </c>
      <c r="E16" s="1">
        <f t="shared" si="11"/>
        <v>6.4850000000000003E-3</v>
      </c>
      <c r="F16" s="1">
        <f t="shared" si="11"/>
        <v>16</v>
      </c>
      <c r="G16" s="8">
        <f t="shared" si="11"/>
        <v>3.3236482180528495</v>
      </c>
      <c r="H16" s="8">
        <f t="shared" si="11"/>
        <v>1.2010630404820206</v>
      </c>
      <c r="I16" s="8">
        <f t="shared" si="11"/>
        <v>1.4956416981237823</v>
      </c>
      <c r="J16" s="3">
        <f t="shared" si="11"/>
        <v>3.9</v>
      </c>
      <c r="K16" s="3">
        <f t="shared" si="11"/>
        <v>44.1</v>
      </c>
      <c r="L16" s="3">
        <f t="shared" si="11"/>
        <v>17.77271029880491</v>
      </c>
      <c r="M16" s="3">
        <f t="shared" si="11"/>
        <v>14.307031790537954</v>
      </c>
      <c r="N16" s="3">
        <f t="shared" si="11"/>
        <v>2.660751150008565</v>
      </c>
      <c r="O16" s="3">
        <f t="shared" si="11"/>
        <v>11.591882055334731</v>
      </c>
      <c r="P16" s="8">
        <f t="shared" si="11"/>
        <v>-1.034642539968087</v>
      </c>
      <c r="Q16" s="8">
        <f t="shared" si="11"/>
        <v>-0.92338774838685067</v>
      </c>
    </row>
    <row r="17" spans="1:17" x14ac:dyDescent="0.25">
      <c r="A17" t="s">
        <v>17</v>
      </c>
      <c r="B17" s="1">
        <f t="shared" ref="B17:Q17" si="12">MAX(B6:B13)</f>
        <v>298.5</v>
      </c>
      <c r="C17" s="1">
        <f t="shared" si="12"/>
        <v>140.69999999999999</v>
      </c>
      <c r="D17" s="1">
        <f t="shared" si="12"/>
        <v>4.9466299641203433</v>
      </c>
      <c r="E17" s="1">
        <f t="shared" si="12"/>
        <v>0.13209000000000001</v>
      </c>
      <c r="F17" s="1">
        <f t="shared" si="12"/>
        <v>23</v>
      </c>
      <c r="G17" s="8">
        <f t="shared" si="12"/>
        <v>25.895552374206382</v>
      </c>
      <c r="H17" s="8">
        <f t="shared" si="12"/>
        <v>3.2540712309557942</v>
      </c>
      <c r="I17" s="8">
        <f t="shared" si="12"/>
        <v>11.652998568392873</v>
      </c>
      <c r="J17" s="3">
        <f t="shared" si="12"/>
        <v>5.23</v>
      </c>
      <c r="K17" s="3">
        <f t="shared" si="12"/>
        <v>94</v>
      </c>
      <c r="L17" s="3">
        <f t="shared" si="12"/>
        <v>108.75743563881069</v>
      </c>
      <c r="M17" s="3">
        <f t="shared" si="12"/>
        <v>87.54973568924261</v>
      </c>
      <c r="N17" s="3">
        <f t="shared" si="12"/>
        <v>4.4722070397580591</v>
      </c>
      <c r="O17" s="3">
        <f t="shared" si="12"/>
        <v>87.18200195052188</v>
      </c>
      <c r="P17" s="8">
        <f t="shared" si="12"/>
        <v>1.3222214511458033</v>
      </c>
      <c r="Q17" s="8">
        <f t="shared" si="12"/>
        <v>1.1603251398850922</v>
      </c>
    </row>
    <row r="28" spans="1:17" x14ac:dyDescent="0.25">
      <c r="A28" s="18"/>
      <c r="B28" s="18"/>
      <c r="C28" s="17"/>
      <c r="D28" s="17"/>
    </row>
    <row r="33" spans="5:11" ht="12.75" customHeight="1" x14ac:dyDescent="0.25"/>
    <row r="40" spans="5:11" ht="15.75" thickBot="1" x14ac:dyDescent="0.3">
      <c r="E40" s="1" t="s">
        <v>33</v>
      </c>
      <c r="F40" t="s">
        <v>34</v>
      </c>
    </row>
    <row r="41" spans="5:11" x14ac:dyDescent="0.25">
      <c r="E41" s="1">
        <v>4.6025</v>
      </c>
      <c r="F41">
        <v>60</v>
      </c>
      <c r="K41" s="12"/>
    </row>
    <row r="42" spans="5:11" x14ac:dyDescent="0.25">
      <c r="E42" s="1">
        <v>3.96</v>
      </c>
      <c r="F42">
        <v>50</v>
      </c>
      <c r="K42" s="9">
        <v>1</v>
      </c>
    </row>
    <row r="43" spans="5:11" x14ac:dyDescent="0.25">
      <c r="K43" s="9">
        <v>1</v>
      </c>
    </row>
    <row r="44" spans="5:11" x14ac:dyDescent="0.25">
      <c r="K44" s="9">
        <v>65535</v>
      </c>
    </row>
    <row r="45" spans="5:11" x14ac:dyDescent="0.25">
      <c r="K45" s="9">
        <v>0</v>
      </c>
    </row>
    <row r="46" spans="5:11" ht="15.75" thickBot="1" x14ac:dyDescent="0.3">
      <c r="K46" s="10">
        <v>2</v>
      </c>
    </row>
    <row r="47" spans="5:11" x14ac:dyDescent="0.25">
      <c r="E47" s="1">
        <f>EXP(1)</f>
        <v>2.7182818284590451</v>
      </c>
    </row>
    <row r="48" spans="5:11" ht="15.75" thickBot="1" x14ac:dyDescent="0.3"/>
    <row r="49" spans="11:20" x14ac:dyDescent="0.25">
      <c r="K49" s="11" t="s">
        <v>19</v>
      </c>
      <c r="L49" s="11" t="s">
        <v>20</v>
      </c>
      <c r="M49" s="11" t="s">
        <v>21</v>
      </c>
      <c r="N49" s="11"/>
      <c r="O49" s="11"/>
      <c r="P49" s="11" t="s">
        <v>22</v>
      </c>
      <c r="Q49" s="11" t="s">
        <v>23</v>
      </c>
    </row>
    <row r="50" spans="11:20" x14ac:dyDescent="0.25">
      <c r="K50" s="9">
        <v>1</v>
      </c>
      <c r="L50" s="9">
        <v>50</v>
      </c>
      <c r="M50" s="9">
        <v>50</v>
      </c>
      <c r="N50" s="9"/>
      <c r="O50" s="9"/>
      <c r="P50" s="9" t="e">
        <v>#NUM!</v>
      </c>
      <c r="Q50" s="9" t="e">
        <v>#NUM!</v>
      </c>
    </row>
    <row r="51" spans="11:20" x14ac:dyDescent="0.25">
      <c r="K51" s="9">
        <v>0</v>
      </c>
      <c r="L51" s="9">
        <v>0</v>
      </c>
      <c r="M51" s="9">
        <v>65535</v>
      </c>
      <c r="N51" s="9"/>
      <c r="O51" s="9"/>
      <c r="P51" s="9"/>
      <c r="Q51" s="9"/>
    </row>
    <row r="52" spans="11:20" ht="15.75" thickBot="1" x14ac:dyDescent="0.3">
      <c r="K52" s="10">
        <v>1</v>
      </c>
      <c r="L52" s="10">
        <v>50</v>
      </c>
      <c r="M52" s="10"/>
      <c r="N52" s="10"/>
      <c r="O52" s="10"/>
      <c r="P52" s="10"/>
      <c r="Q52" s="10"/>
    </row>
    <row r="53" spans="11:20" ht="15.75" thickBot="1" x14ac:dyDescent="0.3"/>
    <row r="54" spans="11:20" x14ac:dyDescent="0.25">
      <c r="K54" s="11" t="s">
        <v>24</v>
      </c>
      <c r="L54" s="11" t="s">
        <v>18</v>
      </c>
      <c r="M54" s="11" t="s">
        <v>25</v>
      </c>
      <c r="N54" s="11"/>
      <c r="O54" s="11"/>
      <c r="P54" s="11" t="s">
        <v>26</v>
      </c>
      <c r="Q54" s="11" t="s">
        <v>27</v>
      </c>
      <c r="R54" s="11" t="s">
        <v>28</v>
      </c>
      <c r="S54" s="11" t="s">
        <v>29</v>
      </c>
      <c r="T54" s="11" t="s">
        <v>30</v>
      </c>
    </row>
    <row r="55" spans="11:20" x14ac:dyDescent="0.25">
      <c r="K55" s="9">
        <v>-11.634241245136181</v>
      </c>
      <c r="L55" s="9">
        <v>0</v>
      </c>
      <c r="M55" s="9">
        <v>65535</v>
      </c>
      <c r="N55" s="9"/>
      <c r="O55" s="9"/>
      <c r="P55" s="9" t="e">
        <v>#NUM!</v>
      </c>
      <c r="Q55" s="9">
        <v>-11.634241245136181</v>
      </c>
      <c r="R55" s="9">
        <v>-11.634241245136181</v>
      </c>
      <c r="S55" s="9">
        <v>-11.634241245136181</v>
      </c>
      <c r="T55" s="9">
        <v>-11.634241245136181</v>
      </c>
    </row>
    <row r="56" spans="11:20" ht="15.75" thickBot="1" x14ac:dyDescent="0.3">
      <c r="K56" s="10">
        <v>15.56420233463035</v>
      </c>
      <c r="L56" s="10">
        <v>0</v>
      </c>
      <c r="M56" s="10">
        <v>65535</v>
      </c>
      <c r="N56" s="10"/>
      <c r="O56" s="10"/>
      <c r="P56" s="10" t="e">
        <v>#NUM!</v>
      </c>
      <c r="Q56" s="10">
        <v>15.56420233463035</v>
      </c>
      <c r="R56" s="10">
        <v>15.56420233463035</v>
      </c>
      <c r="S56" s="10">
        <v>15.56420233463035</v>
      </c>
      <c r="T56" s="10">
        <v>15.56420233463035</v>
      </c>
    </row>
  </sheetData>
  <sortState xmlns:xlrd2="http://schemas.microsoft.com/office/spreadsheetml/2017/richdata2" ref="A6:Q13">
    <sortCondition ref="A6:A13" customList="East,NoOil,Oil,Golf,Waterfall,Vulgaris,Vulgaris small,Ice"/>
  </sortState>
  <pageMargins left="0.7" right="0.7" top="0.75" bottom="0.75" header="0.3" footer="0.3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Total-per-pond</vt:lpstr>
      <vt:lpstr>per liter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Melsisa DeSiervo</cp:lastModifiedBy>
  <cp:lastPrinted>2019-02-14T18:34:18Z</cp:lastPrinted>
  <dcterms:created xsi:type="dcterms:W3CDTF">2019-02-09T17:13:51Z</dcterms:created>
  <dcterms:modified xsi:type="dcterms:W3CDTF">2019-02-21T19:57:29Z</dcterms:modified>
</cp:coreProperties>
</file>