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__Solver__" sheetId="2" r:id="rId5"/>
    <sheet state="hidden" name="__Solver___conflict1252840665" sheetId="3" r:id="rId6"/>
    <sheet state="hidden" name="__Solver___conflict446289122" sheetId="4" r:id="rId7"/>
    <sheet state="hidden" name="__Solver___conflict1400721410" sheetId="5" r:id="rId8"/>
  </sheets>
  <definedNames>
    <definedName localSheetId="0" name="solver_opt">Sheet1!$K$12</definedName>
    <definedName localSheetId="0" name="solver_adj">Sheet1!$H$4</definedName>
  </definedNames>
  <calcPr/>
</workbook>
</file>

<file path=xl/sharedStrings.xml><?xml version="1.0" encoding="utf-8"?>
<sst xmlns="http://schemas.openxmlformats.org/spreadsheetml/2006/main" count="27" uniqueCount="27">
  <si>
    <r>
      <rPr>
        <rFont val="Calibri"/>
        <color theme="1"/>
        <sz val="11.0"/>
      </rPr>
      <t>[Inhibitor] (</t>
    </r>
    <r>
      <rPr>
        <rFont val="Calibri"/>
        <color theme="1"/>
        <sz val="11.0"/>
      </rPr>
      <t>µ</t>
    </r>
    <r>
      <rPr>
        <rFont val="Calibri"/>
        <color theme="1"/>
        <sz val="11.0"/>
      </rPr>
      <t>M)</t>
    </r>
  </si>
  <si>
    <t>Blanks</t>
  </si>
  <si>
    <t>Abs</t>
  </si>
  <si>
    <t>Abs-Blank</t>
  </si>
  <si>
    <t>%Activity</t>
  </si>
  <si>
    <t>Curve Fitting</t>
  </si>
  <si>
    <r>
      <rPr>
        <rFont val="Calibri"/>
        <color theme="1"/>
        <sz val="11.0"/>
      </rPr>
      <t>[Inhibitor] (</t>
    </r>
    <r>
      <rPr>
        <rFont val="Calibri"/>
        <color theme="1"/>
        <sz val="11.0"/>
      </rPr>
      <t>µ</t>
    </r>
    <r>
      <rPr>
        <rFont val="Calibri"/>
        <color theme="1"/>
        <sz val="11.0"/>
      </rPr>
      <t>M)</t>
    </r>
  </si>
  <si>
    <t>Model Values</t>
  </si>
  <si>
    <t>Differences</t>
  </si>
  <si>
    <t>y=100/(1+x/IC50)</t>
  </si>
  <si>
    <t>Variable Parameter:</t>
  </si>
  <si>
    <t>IC50 (uM):</t>
  </si>
  <si>
    <t>Km (mM)</t>
  </si>
  <si>
    <t>[S] (mM)</t>
  </si>
  <si>
    <t>SumSqrDif</t>
  </si>
  <si>
    <t>Calculate Ki from IC50, Km and [S] using the equation Ki = IC50/(1+[S]/Km)</t>
  </si>
  <si>
    <t>Ki (uM)</t>
  </si>
  <si>
    <t>Inhibitor ID:</t>
  </si>
  <si>
    <t>G7</t>
  </si>
  <si>
    <t>Note: the equation in sets plateaus at 100% and 0% and therefore does not include the plateaus as variable parameters</t>
  </si>
  <si>
    <t>Use Solver to minimize K12 using H4 as the variable parameter</t>
  </si>
  <si>
    <t>Plot the actual % Activity as data points with no line and the fit results (column J) with line and no data points</t>
  </si>
  <si>
    <t>20206201595291081013</t>
  </si>
  <si>
    <t>0A6I500t5L2tX0uS</t>
  </si>
  <si>
    <t>dxNx</t>
  </si>
  <si>
    <t>IxEm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</si>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</sst>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1" fillId="2" fontId="0" numFmtId="0" xfId="0" applyBorder="1" applyFont="1"/>
    <xf borderId="1" fillId="3" fontId="0" numFmtId="0" xfId="0" applyBorder="1" applyFill="1" applyFont="1"/>
    <xf borderId="0" fillId="0" fontId="5" numFmtId="0" xfId="0" applyAlignment="1" applyFont="1">
      <alignment shrinkToFit="0" vertical="center" wrapText="1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shrinkToFit="0" wrapText="1"/>
    </xf>
    <xf borderId="0" fillId="0" fontId="2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[Inhibitor] (µM) and %Activity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Sheet1!$E$2:$E$11</c:f>
              <c:numCache/>
            </c:numRef>
          </c:yVal>
        </c:ser>
        <c:ser>
          <c:idx val="1"/>
          <c:order val="1"/>
          <c:tx>
            <c:strRef>
              <c:f>Sheet1!$J$1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Sheet1!$J$2:$J$11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23275"/>
        <c:axId val="903564417"/>
      </c:scatterChart>
      <c:valAx>
        <c:axId val="413023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564417"/>
      </c:valAx>
      <c:valAx>
        <c:axId val="90356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023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4.14"/>
    <col customWidth="1" min="4" max="4" width="11.29"/>
    <col customWidth="1" min="5" max="5" width="15.57"/>
    <col customWidth="1" min="6" max="6" width="12.43"/>
    <col customWidth="1" min="7" max="7" width="20.0"/>
    <col customWidth="1" min="8" max="8" width="12.14"/>
    <col customWidth="1" min="9" max="9" width="15.43"/>
    <col customWidth="1" min="10" max="10" width="12.29"/>
    <col customWidth="1" min="11" max="11" width="12.43"/>
    <col customWidth="1" min="12" max="12" width="15.86"/>
    <col customWidth="1" min="13" max="13" width="13.43"/>
    <col customWidth="1" min="14" max="14" width="15.29"/>
    <col customWidth="1" min="15" max="17" width="13.0"/>
    <col customWidth="1" min="18" max="18" width="7.57"/>
    <col customWidth="1" min="19" max="22" width="13.29"/>
    <col customWidth="1" min="23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2" t="s">
        <v>5</v>
      </c>
      <c r="I1" s="1" t="s">
        <v>6</v>
      </c>
      <c r="J1" s="1" t="s">
        <v>7</v>
      </c>
      <c r="K1" s="1" t="s">
        <v>8</v>
      </c>
    </row>
    <row r="2">
      <c r="A2" s="3">
        <v>0.39</v>
      </c>
      <c r="B2" s="2">
        <v>0.195</v>
      </c>
      <c r="C2" s="2">
        <v>3.628</v>
      </c>
      <c r="D2" s="2">
        <f t="shared" ref="D2:D11" si="1">C2-B2</f>
        <v>3.433</v>
      </c>
      <c r="E2" s="1">
        <f t="shared" ref="E2:E11" si="2">D2/$D$2 *100</f>
        <v>100</v>
      </c>
      <c r="G2" s="2" t="s">
        <v>9</v>
      </c>
      <c r="I2" s="4">
        <v>0.39</v>
      </c>
      <c r="J2" s="2">
        <f t="shared" ref="J2:J11" si="3">100/(1+(I2/$H$4))</f>
        <v>96.46576254</v>
      </c>
      <c r="K2" s="2">
        <f t="shared" ref="K2:K11" si="4">(E2-J2)^2</f>
        <v>12.49083439</v>
      </c>
    </row>
    <row r="3">
      <c r="A3" s="2">
        <v>0.781</v>
      </c>
      <c r="B3" s="2">
        <v>0.19</v>
      </c>
      <c r="C3" s="2">
        <v>3.621</v>
      </c>
      <c r="D3" s="2">
        <f t="shared" si="1"/>
        <v>3.431</v>
      </c>
      <c r="E3" s="1">
        <f t="shared" si="2"/>
        <v>99.94174192</v>
      </c>
      <c r="G3" s="5" t="s">
        <v>10</v>
      </c>
      <c r="I3" s="4">
        <v>0.781</v>
      </c>
      <c r="J3" s="2">
        <f t="shared" si="3"/>
        <v>93.16465953</v>
      </c>
      <c r="K3" s="2">
        <f t="shared" si="4"/>
        <v>45.92884563</v>
      </c>
      <c r="W3" s="5"/>
    </row>
    <row r="4">
      <c r="A4" s="2">
        <v>1.56</v>
      </c>
      <c r="B4" s="2">
        <v>0.19</v>
      </c>
      <c r="C4" s="2">
        <v>3.204</v>
      </c>
      <c r="D4" s="2">
        <f t="shared" si="1"/>
        <v>3.014</v>
      </c>
      <c r="E4" s="1">
        <f t="shared" si="2"/>
        <v>87.79493155</v>
      </c>
      <c r="G4" s="6" t="s">
        <v>11</v>
      </c>
      <c r="H4" s="7">
        <v>10.6449121953464</v>
      </c>
      <c r="I4" s="4">
        <v>1.56</v>
      </c>
      <c r="J4" s="2">
        <f t="shared" si="3"/>
        <v>87.21826118</v>
      </c>
      <c r="K4" s="2">
        <f t="shared" si="4"/>
        <v>0.3325487117</v>
      </c>
      <c r="W4" s="5"/>
    </row>
    <row r="5">
      <c r="A5" s="2">
        <v>3.12</v>
      </c>
      <c r="B5" s="2">
        <v>0.189</v>
      </c>
      <c r="C5" s="2">
        <v>3.245</v>
      </c>
      <c r="D5" s="2">
        <f t="shared" si="1"/>
        <v>3.056</v>
      </c>
      <c r="E5" s="1">
        <f t="shared" si="2"/>
        <v>89.0183513</v>
      </c>
      <c r="G5" s="5"/>
      <c r="I5" s="4">
        <v>3.12</v>
      </c>
      <c r="J5" s="2">
        <f t="shared" si="3"/>
        <v>77.33367307</v>
      </c>
      <c r="K5" s="2">
        <f t="shared" si="4"/>
        <v>136.5317053</v>
      </c>
      <c r="W5" s="5"/>
    </row>
    <row r="6">
      <c r="A6" s="2">
        <v>6.25</v>
      </c>
      <c r="B6" s="2">
        <v>0.193</v>
      </c>
      <c r="C6" s="2">
        <v>2.321</v>
      </c>
      <c r="D6" s="2">
        <f t="shared" si="1"/>
        <v>2.128</v>
      </c>
      <c r="E6" s="1">
        <f t="shared" si="2"/>
        <v>61.98660064</v>
      </c>
      <c r="G6" s="8" t="s">
        <v>12</v>
      </c>
      <c r="H6" s="3">
        <v>15.529</v>
      </c>
      <c r="I6" s="4">
        <v>6.25</v>
      </c>
      <c r="J6" s="2">
        <f t="shared" si="3"/>
        <v>63.00661449</v>
      </c>
      <c r="K6" s="2">
        <f t="shared" si="4"/>
        <v>1.040428252</v>
      </c>
      <c r="W6" s="5"/>
    </row>
    <row r="7">
      <c r="A7" s="2">
        <v>12.5</v>
      </c>
      <c r="B7" s="2">
        <v>0.192</v>
      </c>
      <c r="C7" s="2">
        <v>1.632</v>
      </c>
      <c r="D7" s="2">
        <f t="shared" si="1"/>
        <v>1.44</v>
      </c>
      <c r="E7" s="1">
        <f t="shared" si="2"/>
        <v>41.94581998</v>
      </c>
      <c r="G7" s="8" t="s">
        <v>13</v>
      </c>
      <c r="H7" s="3">
        <v>16.0</v>
      </c>
      <c r="I7" s="4">
        <v>12.5</v>
      </c>
      <c r="J7" s="2">
        <f t="shared" si="3"/>
        <v>45.99245011</v>
      </c>
      <c r="K7" s="2">
        <f t="shared" si="4"/>
        <v>16.37521542</v>
      </c>
      <c r="W7" s="5"/>
    </row>
    <row r="8">
      <c r="A8" s="2">
        <v>25.0</v>
      </c>
      <c r="B8" s="2">
        <v>0.21</v>
      </c>
      <c r="C8" s="2">
        <v>0.964</v>
      </c>
      <c r="D8" s="2">
        <f t="shared" si="1"/>
        <v>0.754</v>
      </c>
      <c r="E8" s="1">
        <f t="shared" si="2"/>
        <v>21.96329741</v>
      </c>
      <c r="G8" s="5"/>
      <c r="I8" s="4">
        <v>25.0</v>
      </c>
      <c r="J8" s="2">
        <f t="shared" si="3"/>
        <v>29.86376327</v>
      </c>
      <c r="K8" s="2">
        <f t="shared" si="4"/>
        <v>62.41736082</v>
      </c>
      <c r="W8" s="5"/>
    </row>
    <row r="9">
      <c r="A9" s="2">
        <v>50.0</v>
      </c>
      <c r="B9" s="2">
        <v>0.22</v>
      </c>
      <c r="C9" s="2">
        <v>0.756</v>
      </c>
      <c r="D9" s="2">
        <f t="shared" si="1"/>
        <v>0.536</v>
      </c>
      <c r="E9" s="1">
        <f t="shared" si="2"/>
        <v>15.61316633</v>
      </c>
      <c r="G9" s="5"/>
      <c r="I9" s="4">
        <v>50.0</v>
      </c>
      <c r="J9" s="2">
        <f t="shared" si="3"/>
        <v>17.55285284</v>
      </c>
      <c r="K9" s="2">
        <f t="shared" si="4"/>
        <v>3.762383787</v>
      </c>
      <c r="W9" s="5"/>
    </row>
    <row r="10">
      <c r="A10" s="2">
        <v>100.0</v>
      </c>
      <c r="B10" s="2">
        <v>0.239</v>
      </c>
      <c r="C10" s="2">
        <v>0.656</v>
      </c>
      <c r="D10" s="2">
        <f t="shared" si="1"/>
        <v>0.417</v>
      </c>
      <c r="E10" s="1">
        <f t="shared" si="2"/>
        <v>12.14681037</v>
      </c>
      <c r="G10" s="5"/>
      <c r="I10" s="4">
        <v>100.0</v>
      </c>
      <c r="J10" s="2">
        <f t="shared" si="3"/>
        <v>9.620787783</v>
      </c>
      <c r="K10" s="2">
        <f t="shared" si="4"/>
        <v>6.380790108</v>
      </c>
      <c r="W10" s="5"/>
    </row>
    <row r="11">
      <c r="A11" s="2">
        <v>200.0</v>
      </c>
      <c r="B11" s="2">
        <v>0.278</v>
      </c>
      <c r="C11" s="2">
        <v>0.662</v>
      </c>
      <c r="D11" s="2">
        <f t="shared" si="1"/>
        <v>0.384</v>
      </c>
      <c r="E11" s="1">
        <f t="shared" si="2"/>
        <v>11.185552</v>
      </c>
      <c r="G11" s="5"/>
      <c r="I11" s="4">
        <v>200.0</v>
      </c>
      <c r="J11" s="2">
        <f t="shared" si="3"/>
        <v>5.053486497</v>
      </c>
      <c r="K11" s="2">
        <f t="shared" si="4"/>
        <v>37.60222727</v>
      </c>
      <c r="W11" s="5"/>
    </row>
    <row r="12">
      <c r="F12" s="1"/>
      <c r="G12" s="5"/>
      <c r="J12" s="2" t="s">
        <v>14</v>
      </c>
      <c r="K12" s="2">
        <f>SUM(K2:K11)</f>
        <v>322.8623397</v>
      </c>
      <c r="W12" s="5"/>
    </row>
    <row r="13">
      <c r="F13" s="1"/>
      <c r="G13" s="5"/>
      <c r="W13" s="5"/>
    </row>
    <row r="15">
      <c r="M15" s="9" t="s">
        <v>15</v>
      </c>
      <c r="N15" s="9"/>
      <c r="O15" s="9"/>
      <c r="P15" s="9"/>
      <c r="Q15" s="9"/>
    </row>
    <row r="16">
      <c r="M16" s="7" t="s">
        <v>16</v>
      </c>
      <c r="N16" s="10">
        <f>H4/(1+(H7/H6))</f>
        <v>5.242945906</v>
      </c>
    </row>
    <row r="18">
      <c r="A18" s="10" t="s">
        <v>17</v>
      </c>
      <c r="B18" s="10" t="s">
        <v>18</v>
      </c>
      <c r="C1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N27" s="11"/>
    </row>
    <row r="28" ht="95.25" customHeight="1">
      <c r="G28" s="12" t="s">
        <v>19</v>
      </c>
      <c r="I28" s="12" t="s">
        <v>20</v>
      </c>
      <c r="J28" s="12" t="s">
        <v>21</v>
      </c>
      <c r="L28" s="1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14"/>
      <c r="B47" s="1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28:K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22</v>
      </c>
      <c r="D1" s="15" t="s">
        <v>23</v>
      </c>
      <c r="J1" s="16">
        <v>1.0</v>
      </c>
    </row>
    <row r="2">
      <c r="A2" s="2">
        <f>Min(Sheet1!K12)</f>
        <v>322.8623397</v>
      </c>
    </row>
    <row r="3">
      <c r="A3" s="2">
        <f>Sheet1!H4</f>
        <v>10.6449122</v>
      </c>
    </row>
    <row r="4">
      <c r="A4" s="15" t="s">
        <v>24</v>
      </c>
      <c r="B4" s="15" t="s">
        <v>25</v>
      </c>
    </row>
    <row r="6">
      <c r="A6" s="15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